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harts/chart1.xml" ContentType="application/vnd.openxmlformats-officedocument.drawingml.char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Mi unidad\ATA\Margen Bruto\M.B 2026\"/>
    </mc:Choice>
  </mc:AlternateContent>
  <xr:revisionPtr revIDLastSave="0" documentId="13_ncr:1_{B3D46747-11E0-44A1-8512-28EF445327CB}" xr6:coauthVersionLast="47" xr6:coauthVersionMax="47" xr10:uidLastSave="{00000000-0000-0000-0000-000000000000}"/>
  <workbookProtection workbookAlgorithmName="SHA-512" workbookHashValue="HOXAEi6WAq28quUz25y6wQ47bkpv4t/ipsLSv37CPSyK4ByqVVm25kPRg7zKsdqf0ym3ZKj65tNHUUnITvsk6Q==" workbookSaltValue="dDpM1RJKtpXv14tsdYSpPQ==" workbookSpinCount="100000" lockStructure="1"/>
  <bookViews>
    <workbookView xWindow="-108" yWindow="-108" windowWidth="23256" windowHeight="13896" tabRatio="717" activeTab="5" xr2:uid="{00000000-000D-0000-FFFF-FFFF00000000}"/>
  </bookViews>
  <sheets>
    <sheet name="Valores" sheetId="1" r:id="rId1"/>
    <sheet name="Tr" sheetId="2" state="hidden" r:id="rId2"/>
    <sheet name="Sj2º" sheetId="3" state="hidden" r:id="rId3"/>
    <sheet name="Mz" sheetId="4" state="hidden" r:id="rId4"/>
    <sheet name="Sj1º" sheetId="5" state="hidden" r:id="rId5"/>
    <sheet name="RESUMEN" sheetId="24" r:id="rId6"/>
    <sheet name="Compra Productor" sheetId="17" r:id="rId7"/>
    <sheet name="MAIZ 1º" sheetId="11" r:id="rId8"/>
    <sheet name="SOJA 1º" sheetId="9" r:id="rId9"/>
    <sheet name="TRIGO" sheetId="6" r:id="rId10"/>
    <sheet name="Soja2º" sheetId="8" r:id="rId11"/>
    <sheet name="Maíz 2º" sheetId="7" r:id="rId12"/>
    <sheet name="Maíz2º" sheetId="12" state="hidden" r:id="rId13"/>
    <sheet name="Alquiler fciado" sheetId="13" state="hidden" r:id="rId14"/>
    <sheet name="Alq." sheetId="14" state="hidden" r:id="rId15"/>
    <sheet name="INFO ANALISIS" sheetId="15" state="hidden" r:id="rId16"/>
    <sheet name="Imprime Formulario" sheetId="16" state="hidden" r:id="rId17"/>
    <sheet name="SORGO" sheetId="27" r:id="rId18"/>
    <sheet name="GIRASOL" sheetId="23" r:id="rId19"/>
    <sheet name="Camelina" sheetId="26" r:id="rId20"/>
    <sheet name="SOJAsobreCS" sheetId="10" r:id="rId21"/>
    <sheet name="MAIZsobreCS" sheetId="21" r:id="rId22"/>
    <sheet name="MANI" sheetId="22" r:id="rId23"/>
    <sheet name="RENTAB=ROTAC" sheetId="18" state="hidden" r:id="rId24"/>
    <sheet name="Hoja1" sheetId="19" state="hidden" r:id="rId25"/>
    <sheet name="Hoja2" sheetId="20" state="hidden" r:id="rId26"/>
  </sheets>
  <definedNames>
    <definedName name="_xlnm.Print_Area" localSheetId="13">'Alquiler fciado'!$B$1:$H$34</definedName>
    <definedName name="_xlnm.Print_Area" localSheetId="6">'Compra Productor'!$A$1:$K$59</definedName>
    <definedName name="_xlnm.Print_Area" localSheetId="16">'Imprime Formulario'!$A$1:$Z$49</definedName>
    <definedName name="_xlnm.Print_Area" localSheetId="7">'MAIZ 1º'!$B$1:$H$69</definedName>
    <definedName name="_xlnm.Print_Area" localSheetId="11">'Maíz 2º'!$B$1:$H$69</definedName>
    <definedName name="_xlnm.Print_Area" localSheetId="3">Mz!$B$1:$M$53</definedName>
    <definedName name="_xlnm.Print_Area" localSheetId="23">'RENTAB=ROTAC'!$B$1:$F$18</definedName>
    <definedName name="_xlnm.Print_Area" localSheetId="5">RESUMEN!$B$2:$S$124</definedName>
    <definedName name="_xlnm.Print_Area" localSheetId="4">Sj1º!$B$1:$M$57</definedName>
    <definedName name="_xlnm.Print_Area" localSheetId="2">Sj2º!$B$1:$M$61</definedName>
    <definedName name="_xlnm.Print_Area" localSheetId="8">'SOJA 1º'!$B$1:$H$83</definedName>
    <definedName name="_xlnm.Print_Area" localSheetId="10">Soja2º!$B$1:$H$79</definedName>
    <definedName name="_xlnm.Print_Area" localSheetId="17">SORGO!$B$1:$H$69</definedName>
    <definedName name="_xlnm.Print_Area" localSheetId="1">Tr!$B$1:$M$50</definedName>
    <definedName name="_xlnm.Print_Area" localSheetId="9">TRIGO!$B$1:$H$59</definedName>
    <definedName name="_xlnm.Print_Area" localSheetId="0">Valores!$A$1:$F$120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0" i="24" l="1"/>
  <c r="D54" i="9"/>
  <c r="E54" i="9"/>
  <c r="F54" i="9"/>
  <c r="D37" i="6"/>
  <c r="E37" i="6"/>
  <c r="G37" i="6" s="1"/>
  <c r="F37" i="6"/>
  <c r="D34" i="7"/>
  <c r="E34" i="7"/>
  <c r="F34" i="7"/>
  <c r="D49" i="22"/>
  <c r="E49" i="22"/>
  <c r="F49" i="22"/>
  <c r="D46" i="23"/>
  <c r="E46" i="23"/>
  <c r="F46" i="23"/>
  <c r="O120" i="24"/>
  <c r="O119" i="24"/>
  <c r="O23" i="24" l="1"/>
  <c r="N23" i="24"/>
  <c r="M23" i="24"/>
  <c r="L23" i="24"/>
  <c r="K23" i="24"/>
  <c r="J23" i="24"/>
  <c r="I23" i="24"/>
  <c r="H23" i="24"/>
  <c r="G23" i="24"/>
  <c r="H111" i="24"/>
  <c r="H112" i="24"/>
  <c r="H113" i="24"/>
  <c r="H109" i="24"/>
  <c r="H110" i="24"/>
  <c r="H114" i="24" l="1"/>
  <c r="V28" i="17"/>
  <c r="L28" i="17"/>
  <c r="M20" i="17"/>
  <c r="M35" i="17" s="1"/>
  <c r="D18" i="17"/>
  <c r="D40" i="11"/>
  <c r="E40" i="11"/>
  <c r="F40" i="11"/>
  <c r="D42" i="11"/>
  <c r="E42" i="11"/>
  <c r="F42" i="11"/>
  <c r="D42" i="27"/>
  <c r="E42" i="27"/>
  <c r="F42" i="27"/>
  <c r="M46" i="17"/>
  <c r="L18" i="17"/>
  <c r="M16" i="17"/>
  <c r="L16" i="17"/>
  <c r="L15" i="17"/>
  <c r="L2" i="17"/>
  <c r="H56" i="27"/>
  <c r="L20" i="17" l="1"/>
  <c r="L32" i="17"/>
  <c r="M32" i="17"/>
  <c r="J4" i="24" l="1"/>
  <c r="J72" i="24" s="1"/>
  <c r="C64" i="27"/>
  <c r="F47" i="27"/>
  <c r="E47" i="27"/>
  <c r="D47" i="27"/>
  <c r="F46" i="27"/>
  <c r="E46" i="27"/>
  <c r="D46" i="27"/>
  <c r="F45" i="27"/>
  <c r="E45" i="27"/>
  <c r="D45" i="27"/>
  <c r="F44" i="27"/>
  <c r="E44" i="27"/>
  <c r="D44" i="27"/>
  <c r="F41" i="27"/>
  <c r="E41" i="27"/>
  <c r="D41" i="27"/>
  <c r="F38" i="27"/>
  <c r="E38" i="27"/>
  <c r="D38" i="27"/>
  <c r="F37" i="27"/>
  <c r="E37" i="27"/>
  <c r="D37" i="27"/>
  <c r="F36" i="27"/>
  <c r="E36" i="27"/>
  <c r="D36" i="27"/>
  <c r="F35" i="27"/>
  <c r="E35" i="27"/>
  <c r="D35" i="27"/>
  <c r="F33" i="27"/>
  <c r="E33" i="27"/>
  <c r="D33" i="27"/>
  <c r="F32" i="27"/>
  <c r="E32" i="27"/>
  <c r="D32" i="27"/>
  <c r="F31" i="27"/>
  <c r="E31" i="27"/>
  <c r="D31" i="27"/>
  <c r="F30" i="27"/>
  <c r="E30" i="27"/>
  <c r="D30" i="27"/>
  <c r="F29" i="27"/>
  <c r="E29" i="27"/>
  <c r="D29" i="27"/>
  <c r="F28" i="27"/>
  <c r="E28" i="27"/>
  <c r="D28" i="27"/>
  <c r="F27" i="27"/>
  <c r="E27" i="27"/>
  <c r="D27" i="27"/>
  <c r="F26" i="27"/>
  <c r="E26" i="27"/>
  <c r="D26" i="27"/>
  <c r="F25" i="27"/>
  <c r="E25" i="27"/>
  <c r="D25" i="27"/>
  <c r="F24" i="27"/>
  <c r="E24" i="27"/>
  <c r="D24" i="27"/>
  <c r="F23" i="27"/>
  <c r="E23" i="27"/>
  <c r="D23" i="27"/>
  <c r="F22" i="27"/>
  <c r="E22" i="27"/>
  <c r="D22" i="27"/>
  <c r="F21" i="27"/>
  <c r="E21" i="27"/>
  <c r="D21" i="27"/>
  <c r="F20" i="27"/>
  <c r="E20" i="27"/>
  <c r="D20" i="27"/>
  <c r="F19" i="27"/>
  <c r="E19" i="27"/>
  <c r="D19" i="27"/>
  <c r="F18" i="27"/>
  <c r="E18" i="27"/>
  <c r="D18" i="27"/>
  <c r="F17" i="27"/>
  <c r="E17" i="27"/>
  <c r="D17" i="27"/>
  <c r="F16" i="27"/>
  <c r="E16" i="27"/>
  <c r="D16" i="27"/>
  <c r="F15" i="27"/>
  <c r="E15" i="27"/>
  <c r="D15" i="27"/>
  <c r="D8" i="27"/>
  <c r="M21" i="17" s="1"/>
  <c r="G6" i="27"/>
  <c r="G42" i="27" s="1"/>
  <c r="J121" i="24"/>
  <c r="J120" i="24"/>
  <c r="J73" i="24"/>
  <c r="J71" i="24"/>
  <c r="O41" i="24"/>
  <c r="N41" i="24"/>
  <c r="G16" i="27" l="1"/>
  <c r="G20" i="27"/>
  <c r="G24" i="27"/>
  <c r="G28" i="27"/>
  <c r="G32" i="27"/>
  <c r="G17" i="27"/>
  <c r="G21" i="27"/>
  <c r="G25" i="27"/>
  <c r="G29" i="27"/>
  <c r="G33" i="27"/>
  <c r="G38" i="27"/>
  <c r="D5" i="27"/>
  <c r="L21" i="17"/>
  <c r="L34" i="17" s="1"/>
  <c r="M34" i="17"/>
  <c r="G37" i="27"/>
  <c r="G45" i="27"/>
  <c r="G46" i="27"/>
  <c r="G18" i="27"/>
  <c r="G22" i="27"/>
  <c r="G26" i="27"/>
  <c r="G30" i="27"/>
  <c r="G35" i="27"/>
  <c r="G41" i="27"/>
  <c r="G47" i="27"/>
  <c r="G15" i="27"/>
  <c r="G19" i="27"/>
  <c r="G27" i="27"/>
  <c r="G31" i="27"/>
  <c r="G36" i="27"/>
  <c r="G44" i="27"/>
  <c r="G23" i="27"/>
  <c r="W20" i="17"/>
  <c r="V20" i="17" s="1"/>
  <c r="W46" i="17"/>
  <c r="W16" i="17"/>
  <c r="V16" i="17"/>
  <c r="V15" i="17"/>
  <c r="H53" i="26"/>
  <c r="O4" i="24"/>
  <c r="D5" i="26" s="1"/>
  <c r="G4" i="24"/>
  <c r="O74" i="24"/>
  <c r="O73" i="24"/>
  <c r="O71" i="24"/>
  <c r="O54" i="24"/>
  <c r="O53" i="24"/>
  <c r="O46" i="24"/>
  <c r="O45" i="24"/>
  <c r="F44" i="26"/>
  <c r="E44" i="26"/>
  <c r="D44" i="26"/>
  <c r="F43" i="26"/>
  <c r="E43" i="26"/>
  <c r="D43" i="26"/>
  <c r="F42" i="26"/>
  <c r="E42" i="26"/>
  <c r="D42" i="26"/>
  <c r="F38" i="26"/>
  <c r="E38" i="26"/>
  <c r="D38" i="26"/>
  <c r="F35" i="26"/>
  <c r="E35" i="26"/>
  <c r="D35" i="26"/>
  <c r="F34" i="26"/>
  <c r="E34" i="26"/>
  <c r="D34" i="26"/>
  <c r="F33" i="26"/>
  <c r="E33" i="26"/>
  <c r="D33" i="26"/>
  <c r="F32" i="26"/>
  <c r="E32" i="26"/>
  <c r="D32" i="26"/>
  <c r="F31" i="26"/>
  <c r="E31" i="26"/>
  <c r="D31" i="26"/>
  <c r="F29" i="26"/>
  <c r="E29" i="26"/>
  <c r="D29" i="26"/>
  <c r="F28" i="26"/>
  <c r="E28" i="26"/>
  <c r="D28" i="26"/>
  <c r="F27" i="26"/>
  <c r="E27" i="26"/>
  <c r="D27" i="26"/>
  <c r="F26" i="26"/>
  <c r="E26" i="26"/>
  <c r="D26" i="26"/>
  <c r="F25" i="26"/>
  <c r="E25" i="26"/>
  <c r="D25" i="26"/>
  <c r="F24" i="26"/>
  <c r="E24" i="26"/>
  <c r="D24" i="26"/>
  <c r="F23" i="26"/>
  <c r="E23" i="26"/>
  <c r="D23" i="26"/>
  <c r="F22" i="26"/>
  <c r="E22" i="26"/>
  <c r="D22" i="26"/>
  <c r="F21" i="26"/>
  <c r="E21" i="26"/>
  <c r="D21" i="26"/>
  <c r="F20" i="26"/>
  <c r="E20" i="26"/>
  <c r="D20" i="26"/>
  <c r="F19" i="26"/>
  <c r="E19" i="26"/>
  <c r="D19" i="26"/>
  <c r="F18" i="26"/>
  <c r="E18" i="26"/>
  <c r="D18" i="26"/>
  <c r="F17" i="26"/>
  <c r="E17" i="26"/>
  <c r="D17" i="26"/>
  <c r="F16" i="26"/>
  <c r="E16" i="26"/>
  <c r="D16" i="26"/>
  <c r="F15" i="26"/>
  <c r="E15" i="26"/>
  <c r="D15" i="26"/>
  <c r="D8" i="26"/>
  <c r="G6" i="26"/>
  <c r="D26" i="22"/>
  <c r="E26" i="22"/>
  <c r="F26" i="22"/>
  <c r="D27" i="22"/>
  <c r="E27" i="22"/>
  <c r="F27" i="22"/>
  <c r="D28" i="22"/>
  <c r="E28" i="22"/>
  <c r="F28" i="22"/>
  <c r="D29" i="22"/>
  <c r="E29" i="22"/>
  <c r="F29" i="22"/>
  <c r="D30" i="22"/>
  <c r="E30" i="22"/>
  <c r="F30" i="22"/>
  <c r="D31" i="22"/>
  <c r="E31" i="22"/>
  <c r="F31" i="22"/>
  <c r="D20" i="23"/>
  <c r="E20" i="23"/>
  <c r="F20" i="23"/>
  <c r="D21" i="23"/>
  <c r="E21" i="23"/>
  <c r="F21" i="23"/>
  <c r="D22" i="23"/>
  <c r="E22" i="23"/>
  <c r="F22" i="23"/>
  <c r="D23" i="23"/>
  <c r="E23" i="23"/>
  <c r="F23" i="23"/>
  <c r="G39" i="27" l="1"/>
  <c r="E39" i="27" s="1"/>
  <c r="L8" i="17" s="1"/>
  <c r="L40" i="17" s="1"/>
  <c r="M9" i="17"/>
  <c r="M41" i="17" s="1"/>
  <c r="G43" i="27"/>
  <c r="E43" i="27" s="1"/>
  <c r="G48" i="27"/>
  <c r="M10" i="17" s="1"/>
  <c r="M43" i="17" s="1"/>
  <c r="G34" i="27"/>
  <c r="M7" i="17" s="1"/>
  <c r="M39" i="17" s="1"/>
  <c r="O72" i="24"/>
  <c r="W35" i="17"/>
  <c r="G38" i="26"/>
  <c r="G40" i="26" s="1"/>
  <c r="G34" i="26"/>
  <c r="G18" i="26"/>
  <c r="G31" i="26"/>
  <c r="G35" i="26"/>
  <c r="G44" i="26"/>
  <c r="G43" i="26"/>
  <c r="G22" i="26"/>
  <c r="G23" i="26"/>
  <c r="G27" i="26"/>
  <c r="G25" i="26"/>
  <c r="G26" i="26"/>
  <c r="G15" i="26"/>
  <c r="G16" i="26"/>
  <c r="G19" i="26"/>
  <c r="G32" i="26"/>
  <c r="G20" i="26"/>
  <c r="G17" i="26"/>
  <c r="G28" i="26"/>
  <c r="G24" i="26"/>
  <c r="G33" i="26"/>
  <c r="G21" i="26"/>
  <c r="G29" i="26"/>
  <c r="G42" i="26"/>
  <c r="F44" i="21"/>
  <c r="E44" i="21"/>
  <c r="D44" i="21"/>
  <c r="F43" i="21"/>
  <c r="E43" i="21"/>
  <c r="D43" i="21"/>
  <c r="F42" i="21"/>
  <c r="E42" i="21"/>
  <c r="D42" i="21"/>
  <c r="F41" i="21"/>
  <c r="E41" i="21"/>
  <c r="D41" i="21"/>
  <c r="D52" i="10"/>
  <c r="E52" i="10"/>
  <c r="F52" i="10"/>
  <c r="F51" i="10"/>
  <c r="E51" i="10"/>
  <c r="D51" i="10"/>
  <c r="F50" i="10"/>
  <c r="E50" i="10"/>
  <c r="D50" i="10"/>
  <c r="F49" i="10"/>
  <c r="E49" i="10"/>
  <c r="D49" i="10"/>
  <c r="G6" i="10"/>
  <c r="F39" i="7"/>
  <c r="E39" i="7"/>
  <c r="D39" i="7"/>
  <c r="F38" i="7"/>
  <c r="E38" i="7"/>
  <c r="D38" i="7"/>
  <c r="F37" i="7"/>
  <c r="E37" i="7"/>
  <c r="D37" i="7"/>
  <c r="F36" i="7"/>
  <c r="E36" i="7"/>
  <c r="D36" i="7"/>
  <c r="D25" i="7"/>
  <c r="E25" i="7"/>
  <c r="F25" i="7"/>
  <c r="D26" i="7"/>
  <c r="E26" i="7"/>
  <c r="F26" i="7"/>
  <c r="D27" i="7"/>
  <c r="E27" i="7"/>
  <c r="F27" i="7"/>
  <c r="D28" i="7"/>
  <c r="E28" i="7"/>
  <c r="F28" i="7"/>
  <c r="D29" i="7"/>
  <c r="E29" i="7"/>
  <c r="F29" i="7"/>
  <c r="D30" i="7"/>
  <c r="E30" i="7"/>
  <c r="F30" i="7"/>
  <c r="D24" i="11"/>
  <c r="E24" i="11"/>
  <c r="F24" i="11"/>
  <c r="D23" i="11"/>
  <c r="E23" i="11"/>
  <c r="F23" i="11"/>
  <c r="D25" i="11"/>
  <c r="E25" i="11"/>
  <c r="F25" i="11"/>
  <c r="D26" i="11"/>
  <c r="E26" i="11"/>
  <c r="F26" i="11"/>
  <c r="D27" i="11"/>
  <c r="E27" i="11"/>
  <c r="F27" i="11"/>
  <c r="D28" i="11"/>
  <c r="E28" i="11"/>
  <c r="F28" i="11"/>
  <c r="D29" i="11"/>
  <c r="E29" i="11"/>
  <c r="F29" i="11"/>
  <c r="D30" i="11"/>
  <c r="E30" i="11"/>
  <c r="F30" i="11"/>
  <c r="D31" i="11"/>
  <c r="E31" i="11"/>
  <c r="F31" i="11"/>
  <c r="F29" i="9"/>
  <c r="D29" i="9"/>
  <c r="D25" i="9"/>
  <c r="E25" i="9"/>
  <c r="F25" i="9"/>
  <c r="D26" i="9"/>
  <c r="E26" i="9"/>
  <c r="F26" i="9"/>
  <c r="D23" i="9"/>
  <c r="E23" i="9"/>
  <c r="F23" i="9"/>
  <c r="D18" i="9"/>
  <c r="E18" i="9"/>
  <c r="F18" i="9"/>
  <c r="F17" i="9"/>
  <c r="D17" i="9"/>
  <c r="E17" i="9"/>
  <c r="E24" i="9"/>
  <c r="M8" i="17" l="1"/>
  <c r="M40" i="17" s="1"/>
  <c r="M42" i="17" s="1"/>
  <c r="E34" i="27"/>
  <c r="L7" i="17" s="1"/>
  <c r="L39" i="17" s="1"/>
  <c r="L9" i="17"/>
  <c r="L41" i="17" s="1"/>
  <c r="E48" i="27"/>
  <c r="L10" i="17" s="1"/>
  <c r="E40" i="26"/>
  <c r="G45" i="26"/>
  <c r="G52" i="10"/>
  <c r="G36" i="26"/>
  <c r="G30" i="26"/>
  <c r="G50" i="10"/>
  <c r="G49" i="10"/>
  <c r="G51" i="10"/>
  <c r="L42" i="17" l="1"/>
  <c r="E45" i="26"/>
  <c r="E36" i="26"/>
  <c r="E30" i="26"/>
  <c r="G53" i="10"/>
  <c r="E53" i="10" s="1"/>
  <c r="N9" i="17" s="1"/>
  <c r="F48" i="22"/>
  <c r="E48" i="22"/>
  <c r="D48" i="22"/>
  <c r="D53" i="22"/>
  <c r="E53" i="22"/>
  <c r="F53" i="22"/>
  <c r="D54" i="22"/>
  <c r="E54" i="22"/>
  <c r="F54" i="22"/>
  <c r="D55" i="22"/>
  <c r="E55" i="22"/>
  <c r="F55" i="22"/>
  <c r="D56" i="22"/>
  <c r="E56" i="22"/>
  <c r="F56" i="22"/>
  <c r="D57" i="22"/>
  <c r="E57" i="22"/>
  <c r="F57" i="22"/>
  <c r="F52" i="22"/>
  <c r="E52" i="22"/>
  <c r="D52" i="22"/>
  <c r="F51" i="22"/>
  <c r="E51" i="22"/>
  <c r="D51" i="22"/>
  <c r="D44" i="22"/>
  <c r="E44" i="22"/>
  <c r="F44" i="22"/>
  <c r="D45" i="22"/>
  <c r="E45" i="22"/>
  <c r="F45" i="22"/>
  <c r="F43" i="22"/>
  <c r="E43" i="22"/>
  <c r="D43" i="22"/>
  <c r="F42" i="22"/>
  <c r="E42" i="22"/>
  <c r="D42" i="22"/>
  <c r="D17" i="22"/>
  <c r="E17" i="22"/>
  <c r="F17" i="22"/>
  <c r="D18" i="22"/>
  <c r="E18" i="22"/>
  <c r="F18" i="22"/>
  <c r="D19" i="22"/>
  <c r="E19" i="22"/>
  <c r="F19" i="22"/>
  <c r="D20" i="22"/>
  <c r="E20" i="22"/>
  <c r="F20" i="22"/>
  <c r="D21" i="22"/>
  <c r="E21" i="22"/>
  <c r="F21" i="22"/>
  <c r="D22" i="22"/>
  <c r="E22" i="22"/>
  <c r="F22" i="22"/>
  <c r="D23" i="22"/>
  <c r="E23" i="22"/>
  <c r="F23" i="22"/>
  <c r="D24" i="22"/>
  <c r="E24" i="22"/>
  <c r="F24" i="22"/>
  <c r="D25" i="22"/>
  <c r="E25" i="22"/>
  <c r="F25" i="22"/>
  <c r="D32" i="22"/>
  <c r="E32" i="22"/>
  <c r="F32" i="22"/>
  <c r="D33" i="22"/>
  <c r="E33" i="22"/>
  <c r="F33" i="22"/>
  <c r="D34" i="22"/>
  <c r="E34" i="22"/>
  <c r="F34" i="22"/>
  <c r="D35" i="22"/>
  <c r="E35" i="22"/>
  <c r="F35" i="22"/>
  <c r="D36" i="22"/>
  <c r="E36" i="22"/>
  <c r="F36" i="22"/>
  <c r="D37" i="22"/>
  <c r="E37" i="22"/>
  <c r="F37" i="22"/>
  <c r="D38" i="22"/>
  <c r="E38" i="22"/>
  <c r="F38" i="22"/>
  <c r="D39" i="22"/>
  <c r="E39" i="22"/>
  <c r="F39" i="22"/>
  <c r="F16" i="22"/>
  <c r="E16" i="22"/>
  <c r="D16" i="22"/>
  <c r="F15" i="22"/>
  <c r="E15" i="22"/>
  <c r="D15" i="22"/>
  <c r="D49" i="23"/>
  <c r="E49" i="23"/>
  <c r="F49" i="23"/>
  <c r="D50" i="23"/>
  <c r="E50" i="23"/>
  <c r="F50" i="23"/>
  <c r="D51" i="23"/>
  <c r="E51" i="23"/>
  <c r="F51" i="23"/>
  <c r="D52" i="23"/>
  <c r="E52" i="23"/>
  <c r="F52" i="23"/>
  <c r="F48" i="23"/>
  <c r="E48" i="23"/>
  <c r="D48" i="23"/>
  <c r="F45" i="23"/>
  <c r="E45" i="23"/>
  <c r="D45" i="23"/>
  <c r="D42" i="23"/>
  <c r="E42" i="23"/>
  <c r="F42" i="23"/>
  <c r="F41" i="23"/>
  <c r="E41" i="23"/>
  <c r="D41" i="23"/>
  <c r="F40" i="23"/>
  <c r="E40" i="23"/>
  <c r="D40" i="23"/>
  <c r="D17" i="23"/>
  <c r="E17" i="23"/>
  <c r="F17" i="23"/>
  <c r="D18" i="23"/>
  <c r="E18" i="23"/>
  <c r="F18" i="23"/>
  <c r="D19" i="23"/>
  <c r="E19" i="23"/>
  <c r="F19" i="23"/>
  <c r="D24" i="23"/>
  <c r="E24" i="23"/>
  <c r="F24" i="23"/>
  <c r="D25" i="23"/>
  <c r="E25" i="23"/>
  <c r="F25" i="23"/>
  <c r="D26" i="23"/>
  <c r="E26" i="23"/>
  <c r="F26" i="23"/>
  <c r="D27" i="23"/>
  <c r="E27" i="23"/>
  <c r="F27" i="23"/>
  <c r="D28" i="23"/>
  <c r="E28" i="23"/>
  <c r="F28" i="23"/>
  <c r="D29" i="23"/>
  <c r="E29" i="23"/>
  <c r="F29" i="23"/>
  <c r="D30" i="23"/>
  <c r="E30" i="23"/>
  <c r="F30" i="23"/>
  <c r="D31" i="23"/>
  <c r="E31" i="23"/>
  <c r="F31" i="23"/>
  <c r="D32" i="23"/>
  <c r="E32" i="23"/>
  <c r="F32" i="23"/>
  <c r="D33" i="23"/>
  <c r="E33" i="23"/>
  <c r="F33" i="23"/>
  <c r="D34" i="23"/>
  <c r="E34" i="23"/>
  <c r="F34" i="23"/>
  <c r="D35" i="23"/>
  <c r="E35" i="23"/>
  <c r="F35" i="23"/>
  <c r="D36" i="23"/>
  <c r="E36" i="23"/>
  <c r="F36" i="23"/>
  <c r="D37" i="23"/>
  <c r="E37" i="23"/>
  <c r="F37" i="23"/>
  <c r="F16" i="23"/>
  <c r="E16" i="23"/>
  <c r="D16" i="23"/>
  <c r="F15" i="23"/>
  <c r="E15" i="23"/>
  <c r="D15" i="23"/>
  <c r="D48" i="21"/>
  <c r="E48" i="21"/>
  <c r="F48" i="21"/>
  <c r="D49" i="21"/>
  <c r="E49" i="21"/>
  <c r="F49" i="21"/>
  <c r="D50" i="21"/>
  <c r="E50" i="21"/>
  <c r="F50" i="21"/>
  <c r="F47" i="21"/>
  <c r="E47" i="21"/>
  <c r="D47" i="21"/>
  <c r="D34" i="21"/>
  <c r="E34" i="21"/>
  <c r="F34" i="21"/>
  <c r="D35" i="21"/>
  <c r="E35" i="21"/>
  <c r="F35" i="21"/>
  <c r="D36" i="21"/>
  <c r="E36" i="21"/>
  <c r="F36" i="21"/>
  <c r="D37" i="21"/>
  <c r="E37" i="21"/>
  <c r="F37" i="21"/>
  <c r="D38" i="21"/>
  <c r="E38" i="21"/>
  <c r="F38" i="21"/>
  <c r="F33" i="21"/>
  <c r="E33" i="21"/>
  <c r="D33" i="21"/>
  <c r="F32" i="21"/>
  <c r="E32" i="21"/>
  <c r="D32" i="21"/>
  <c r="D17" i="21"/>
  <c r="E17" i="21"/>
  <c r="F17" i="21"/>
  <c r="D18" i="21"/>
  <c r="E18" i="21"/>
  <c r="F18" i="21"/>
  <c r="D19" i="21"/>
  <c r="E19" i="21"/>
  <c r="F19" i="21"/>
  <c r="D20" i="21"/>
  <c r="E20" i="21"/>
  <c r="F20" i="21"/>
  <c r="D21" i="21"/>
  <c r="E21" i="21"/>
  <c r="F21" i="21"/>
  <c r="D22" i="21"/>
  <c r="E22" i="21"/>
  <c r="F22" i="21"/>
  <c r="D23" i="21"/>
  <c r="E23" i="21"/>
  <c r="F23" i="21"/>
  <c r="D24" i="21"/>
  <c r="E24" i="21"/>
  <c r="F24" i="21"/>
  <c r="D25" i="21"/>
  <c r="E25" i="21"/>
  <c r="F25" i="21"/>
  <c r="D26" i="21"/>
  <c r="E26" i="21"/>
  <c r="F26" i="21"/>
  <c r="D27" i="21"/>
  <c r="E27" i="21"/>
  <c r="F27" i="21"/>
  <c r="D28" i="21"/>
  <c r="E28" i="21"/>
  <c r="F28" i="21"/>
  <c r="D29" i="21"/>
  <c r="E29" i="21"/>
  <c r="F29" i="21"/>
  <c r="D30" i="21"/>
  <c r="E30" i="21"/>
  <c r="F30" i="21"/>
  <c r="F16" i="21"/>
  <c r="E16" i="21"/>
  <c r="D16" i="21"/>
  <c r="F15" i="21"/>
  <c r="E15" i="21"/>
  <c r="D15" i="21"/>
  <c r="D56" i="10"/>
  <c r="E56" i="10"/>
  <c r="F56" i="10"/>
  <c r="D57" i="10"/>
  <c r="E57" i="10"/>
  <c r="F57" i="10"/>
  <c r="D58" i="10"/>
  <c r="E58" i="10"/>
  <c r="F58" i="10"/>
  <c r="F55" i="10"/>
  <c r="E55" i="10"/>
  <c r="D55" i="10"/>
  <c r="D45" i="10"/>
  <c r="E45" i="10"/>
  <c r="F45" i="10"/>
  <c r="D46" i="10"/>
  <c r="E46" i="10"/>
  <c r="F46" i="10"/>
  <c r="F44" i="10"/>
  <c r="E44" i="10"/>
  <c r="D44" i="10"/>
  <c r="F43" i="10"/>
  <c r="E43" i="10"/>
  <c r="D43" i="10"/>
  <c r="D17" i="10"/>
  <c r="E17" i="10"/>
  <c r="F17" i="10"/>
  <c r="D18" i="10"/>
  <c r="E18" i="10"/>
  <c r="F18" i="10"/>
  <c r="D19" i="10"/>
  <c r="E19" i="10"/>
  <c r="F19" i="10"/>
  <c r="D20" i="10"/>
  <c r="E20" i="10"/>
  <c r="F20" i="10"/>
  <c r="D21" i="10"/>
  <c r="E21" i="10"/>
  <c r="F21" i="10"/>
  <c r="D22" i="10"/>
  <c r="E22" i="10"/>
  <c r="F22" i="10"/>
  <c r="D23" i="10"/>
  <c r="E23" i="10"/>
  <c r="F23" i="10"/>
  <c r="D24" i="10"/>
  <c r="E24" i="10"/>
  <c r="F24" i="10"/>
  <c r="D25" i="10"/>
  <c r="E25" i="10"/>
  <c r="F25" i="10"/>
  <c r="D26" i="10"/>
  <c r="E26" i="10"/>
  <c r="F26" i="10"/>
  <c r="D27" i="10"/>
  <c r="E27" i="10"/>
  <c r="F27" i="10"/>
  <c r="D28" i="10"/>
  <c r="E28" i="10"/>
  <c r="F28" i="10"/>
  <c r="D29" i="10"/>
  <c r="E29" i="10"/>
  <c r="F29" i="10"/>
  <c r="D30" i="10"/>
  <c r="E30" i="10"/>
  <c r="F30" i="10"/>
  <c r="D31" i="10"/>
  <c r="E31" i="10"/>
  <c r="F31" i="10"/>
  <c r="D32" i="10"/>
  <c r="E32" i="10"/>
  <c r="F32" i="10"/>
  <c r="D33" i="10"/>
  <c r="E33" i="10"/>
  <c r="F33" i="10"/>
  <c r="D34" i="10"/>
  <c r="E34" i="10"/>
  <c r="F34" i="10"/>
  <c r="D35" i="10"/>
  <c r="E35" i="10"/>
  <c r="F35" i="10"/>
  <c r="D36" i="10"/>
  <c r="E36" i="10"/>
  <c r="F36" i="10"/>
  <c r="D37" i="10"/>
  <c r="E37" i="10"/>
  <c r="F37" i="10"/>
  <c r="D38" i="10"/>
  <c r="E38" i="10"/>
  <c r="F38" i="10"/>
  <c r="D39" i="10"/>
  <c r="E39" i="10"/>
  <c r="F39" i="10"/>
  <c r="D40" i="10"/>
  <c r="E40" i="10"/>
  <c r="F40" i="10"/>
  <c r="F16" i="10"/>
  <c r="E16" i="10"/>
  <c r="D16" i="10"/>
  <c r="F15" i="10"/>
  <c r="E15" i="10"/>
  <c r="D15" i="10"/>
  <c r="D45" i="11"/>
  <c r="E45" i="11"/>
  <c r="F45" i="11"/>
  <c r="D46" i="11"/>
  <c r="E46" i="11"/>
  <c r="F46" i="11"/>
  <c r="D47" i="11"/>
  <c r="E47" i="11"/>
  <c r="F47" i="11"/>
  <c r="F44" i="11"/>
  <c r="E44" i="11"/>
  <c r="D44" i="11"/>
  <c r="F41" i="11"/>
  <c r="E41" i="11"/>
  <c r="D41" i="11"/>
  <c r="D36" i="11"/>
  <c r="E36" i="11"/>
  <c r="F36" i="11"/>
  <c r="D37" i="11"/>
  <c r="E37" i="11"/>
  <c r="F37" i="11"/>
  <c r="D38" i="11"/>
  <c r="E38" i="11"/>
  <c r="F38" i="11"/>
  <c r="F35" i="11"/>
  <c r="E35" i="11"/>
  <c r="D35" i="11"/>
  <c r="D17" i="11"/>
  <c r="E17" i="11"/>
  <c r="F17" i="11"/>
  <c r="D18" i="11"/>
  <c r="E18" i="11"/>
  <c r="F18" i="11"/>
  <c r="D19" i="11"/>
  <c r="E19" i="11"/>
  <c r="F19" i="11"/>
  <c r="D20" i="11"/>
  <c r="E20" i="11"/>
  <c r="F20" i="11"/>
  <c r="D21" i="11"/>
  <c r="E21" i="11"/>
  <c r="F21" i="11"/>
  <c r="D22" i="11"/>
  <c r="E22" i="11"/>
  <c r="F22" i="11"/>
  <c r="D32" i="11"/>
  <c r="E32" i="11"/>
  <c r="F32" i="11"/>
  <c r="D33" i="11"/>
  <c r="E33" i="11"/>
  <c r="F33" i="11"/>
  <c r="F16" i="11"/>
  <c r="E16" i="11"/>
  <c r="D16" i="11"/>
  <c r="F15" i="11"/>
  <c r="E15" i="11"/>
  <c r="D15" i="11"/>
  <c r="D57" i="9"/>
  <c r="E57" i="9"/>
  <c r="F57" i="9"/>
  <c r="D58" i="9"/>
  <c r="E58" i="9"/>
  <c r="F58" i="9"/>
  <c r="D59" i="9"/>
  <c r="E59" i="9"/>
  <c r="F59" i="9"/>
  <c r="F56" i="9"/>
  <c r="E56" i="9"/>
  <c r="D56" i="9"/>
  <c r="F53" i="9"/>
  <c r="E53" i="9"/>
  <c r="D53" i="9"/>
  <c r="D48" i="9"/>
  <c r="E48" i="9"/>
  <c r="F48" i="9"/>
  <c r="D49" i="9"/>
  <c r="E49" i="9"/>
  <c r="F49" i="9"/>
  <c r="D50" i="9"/>
  <c r="E50" i="9"/>
  <c r="F50" i="9"/>
  <c r="F47" i="9"/>
  <c r="E47" i="9"/>
  <c r="D47" i="9"/>
  <c r="D19" i="9"/>
  <c r="E19" i="9"/>
  <c r="F19" i="9"/>
  <c r="D20" i="9"/>
  <c r="E20" i="9"/>
  <c r="F20" i="9"/>
  <c r="D21" i="9"/>
  <c r="E21" i="9"/>
  <c r="F21" i="9"/>
  <c r="D22" i="9"/>
  <c r="E22" i="9"/>
  <c r="F22" i="9"/>
  <c r="D24" i="9"/>
  <c r="F24" i="9"/>
  <c r="D27" i="9"/>
  <c r="E27" i="9"/>
  <c r="F27" i="9"/>
  <c r="D28" i="9"/>
  <c r="E28" i="9"/>
  <c r="F28" i="9"/>
  <c r="E29" i="9"/>
  <c r="D30" i="9"/>
  <c r="E30" i="9"/>
  <c r="F30" i="9"/>
  <c r="D31" i="9"/>
  <c r="E31" i="9"/>
  <c r="F31" i="9"/>
  <c r="D32" i="9"/>
  <c r="E32" i="9"/>
  <c r="F32" i="9"/>
  <c r="D33" i="9"/>
  <c r="E33" i="9"/>
  <c r="F33" i="9"/>
  <c r="D34" i="9"/>
  <c r="E34" i="9"/>
  <c r="F34" i="9"/>
  <c r="D35" i="9"/>
  <c r="E35" i="9"/>
  <c r="F35" i="9"/>
  <c r="D36" i="9"/>
  <c r="E36" i="9"/>
  <c r="F36" i="9"/>
  <c r="D37" i="9"/>
  <c r="E37" i="9"/>
  <c r="F37" i="9"/>
  <c r="D38" i="9"/>
  <c r="E38" i="9"/>
  <c r="F38" i="9"/>
  <c r="D39" i="9"/>
  <c r="E39" i="9"/>
  <c r="F39" i="9"/>
  <c r="D40" i="9"/>
  <c r="E40" i="9"/>
  <c r="F40" i="9"/>
  <c r="D41" i="9"/>
  <c r="E41" i="9"/>
  <c r="F41" i="9"/>
  <c r="D42" i="9"/>
  <c r="E42" i="9"/>
  <c r="F42" i="9"/>
  <c r="D43" i="9"/>
  <c r="E43" i="9"/>
  <c r="F43" i="9"/>
  <c r="D44" i="9"/>
  <c r="E44" i="9"/>
  <c r="F44" i="9"/>
  <c r="F16" i="9"/>
  <c r="E16" i="9"/>
  <c r="D16" i="9"/>
  <c r="F15" i="9"/>
  <c r="E15" i="9"/>
  <c r="D15" i="9"/>
  <c r="D49" i="8"/>
  <c r="E49" i="8"/>
  <c r="F49" i="8"/>
  <c r="D50" i="8"/>
  <c r="E50" i="8"/>
  <c r="F50" i="8"/>
  <c r="F48" i="8"/>
  <c r="E48" i="8"/>
  <c r="D48" i="8"/>
  <c r="F45" i="8"/>
  <c r="E45" i="8"/>
  <c r="D45" i="8"/>
  <c r="D39" i="8"/>
  <c r="E39" i="8"/>
  <c r="F39" i="8"/>
  <c r="D40" i="8"/>
  <c r="E40" i="8"/>
  <c r="F40" i="8"/>
  <c r="D41" i="8"/>
  <c r="E41" i="8"/>
  <c r="F41" i="8"/>
  <c r="D42" i="8"/>
  <c r="E42" i="8"/>
  <c r="F42" i="8"/>
  <c r="F38" i="8"/>
  <c r="E38" i="8"/>
  <c r="D38" i="8"/>
  <c r="D17" i="8"/>
  <c r="E17" i="8"/>
  <c r="F17" i="8"/>
  <c r="D18" i="8"/>
  <c r="E18" i="8"/>
  <c r="F18" i="8"/>
  <c r="D19" i="8"/>
  <c r="E19" i="8"/>
  <c r="F19" i="8"/>
  <c r="D20" i="8"/>
  <c r="E20" i="8"/>
  <c r="F20" i="8"/>
  <c r="D21" i="8"/>
  <c r="E21" i="8"/>
  <c r="F21" i="8"/>
  <c r="D22" i="8"/>
  <c r="E22" i="8"/>
  <c r="F22" i="8"/>
  <c r="D23" i="8"/>
  <c r="E23" i="8"/>
  <c r="F23" i="8"/>
  <c r="D24" i="8"/>
  <c r="E24" i="8"/>
  <c r="F24" i="8"/>
  <c r="D25" i="8"/>
  <c r="E25" i="8"/>
  <c r="F25" i="8"/>
  <c r="D26" i="8"/>
  <c r="E26" i="8"/>
  <c r="F26" i="8"/>
  <c r="D27" i="8"/>
  <c r="E27" i="8"/>
  <c r="F27" i="8"/>
  <c r="D28" i="8"/>
  <c r="E28" i="8"/>
  <c r="F28" i="8"/>
  <c r="D29" i="8"/>
  <c r="E29" i="8"/>
  <c r="F29" i="8"/>
  <c r="D30" i="8"/>
  <c r="E30" i="8"/>
  <c r="F30" i="8"/>
  <c r="D31" i="8"/>
  <c r="E31" i="8"/>
  <c r="F31" i="8"/>
  <c r="D32" i="8"/>
  <c r="E32" i="8"/>
  <c r="F32" i="8"/>
  <c r="D33" i="8"/>
  <c r="E33" i="8"/>
  <c r="F33" i="8"/>
  <c r="D34" i="8"/>
  <c r="E34" i="8"/>
  <c r="F34" i="8"/>
  <c r="D35" i="8"/>
  <c r="E35" i="8"/>
  <c r="F35" i="8"/>
  <c r="D36" i="8"/>
  <c r="E36" i="8"/>
  <c r="F36" i="8"/>
  <c r="F16" i="8"/>
  <c r="E16" i="8"/>
  <c r="D16" i="8"/>
  <c r="F15" i="8"/>
  <c r="E15" i="8"/>
  <c r="D15" i="8"/>
  <c r="F33" i="7"/>
  <c r="E33" i="7"/>
  <c r="D33" i="7"/>
  <c r="D17" i="7"/>
  <c r="E17" i="7"/>
  <c r="F17" i="7"/>
  <c r="D18" i="7"/>
  <c r="E18" i="7"/>
  <c r="F18" i="7"/>
  <c r="D19" i="7"/>
  <c r="E19" i="7"/>
  <c r="F19" i="7"/>
  <c r="D20" i="7"/>
  <c r="E20" i="7"/>
  <c r="F20" i="7"/>
  <c r="D21" i="7"/>
  <c r="E21" i="7"/>
  <c r="F21" i="7"/>
  <c r="D22" i="7"/>
  <c r="E22" i="7"/>
  <c r="F22" i="7"/>
  <c r="D23" i="7"/>
  <c r="E23" i="7"/>
  <c r="F23" i="7"/>
  <c r="D24" i="7"/>
  <c r="E24" i="7"/>
  <c r="F24" i="7"/>
  <c r="F16" i="7"/>
  <c r="E16" i="7"/>
  <c r="D16" i="7"/>
  <c r="F15" i="7"/>
  <c r="E15" i="7"/>
  <c r="D15" i="7"/>
  <c r="F40" i="6"/>
  <c r="F41" i="6"/>
  <c r="F42" i="6"/>
  <c r="F39" i="6"/>
  <c r="D40" i="6"/>
  <c r="E40" i="6"/>
  <c r="D41" i="6"/>
  <c r="E41" i="6"/>
  <c r="D42" i="6"/>
  <c r="E42" i="6"/>
  <c r="E39" i="6"/>
  <c r="D39" i="6"/>
  <c r="F36" i="6"/>
  <c r="E36" i="6"/>
  <c r="D36" i="6"/>
  <c r="F31" i="6"/>
  <c r="F32" i="6"/>
  <c r="F33" i="6"/>
  <c r="F30" i="6"/>
  <c r="E31" i="6"/>
  <c r="E32" i="6"/>
  <c r="E33" i="6"/>
  <c r="E30" i="6"/>
  <c r="D31" i="6"/>
  <c r="D32" i="6"/>
  <c r="D33" i="6"/>
  <c r="D30" i="6"/>
  <c r="F17" i="6"/>
  <c r="F18" i="6"/>
  <c r="F19" i="6"/>
  <c r="F20" i="6"/>
  <c r="F21" i="6"/>
  <c r="F22" i="6"/>
  <c r="F23" i="6"/>
  <c r="F24" i="6"/>
  <c r="F25" i="6"/>
  <c r="F26" i="6"/>
  <c r="F27" i="6"/>
  <c r="F15" i="6"/>
  <c r="F16" i="6"/>
  <c r="D16" i="6"/>
  <c r="D15" i="6"/>
  <c r="E15" i="6"/>
  <c r="D17" i="6"/>
  <c r="D18" i="6"/>
  <c r="D19" i="6"/>
  <c r="D20" i="6"/>
  <c r="D21" i="6"/>
  <c r="D22" i="6"/>
  <c r="D23" i="6"/>
  <c r="D24" i="6"/>
  <c r="D25" i="6"/>
  <c r="D26" i="6"/>
  <c r="D27" i="6"/>
  <c r="E16" i="6"/>
  <c r="E17" i="6"/>
  <c r="E18" i="6"/>
  <c r="E19" i="6"/>
  <c r="E20" i="6"/>
  <c r="E21" i="6"/>
  <c r="E22" i="6"/>
  <c r="E23" i="6"/>
  <c r="E25" i="6"/>
  <c r="E26" i="6"/>
  <c r="E27" i="6"/>
  <c r="F27" i="1" l="1"/>
  <c r="E24" i="6" s="1"/>
  <c r="F26" i="1"/>
  <c r="F25" i="1"/>
  <c r="M4" i="24"/>
  <c r="D5" i="23" s="1"/>
  <c r="F3" i="18"/>
  <c r="F4" i="18" s="1"/>
  <c r="E3" i="18"/>
  <c r="D3" i="18"/>
  <c r="H61" i="23" l="1"/>
  <c r="G21" i="10" l="1"/>
  <c r="G36" i="10"/>
  <c r="G33" i="10"/>
  <c r="G31" i="10"/>
  <c r="G27" i="10"/>
  <c r="G46" i="10"/>
  <c r="G58" i="10" l="1"/>
  <c r="G6" i="23"/>
  <c r="G46" i="23" s="1"/>
  <c r="G57" i="10"/>
  <c r="G56" i="10"/>
  <c r="G55" i="10"/>
  <c r="G6" i="21"/>
  <c r="C67" i="21"/>
  <c r="G24" i="10"/>
  <c r="G30" i="10"/>
  <c r="G29" i="10"/>
  <c r="G32" i="10"/>
  <c r="G23" i="10"/>
  <c r="G37" i="10"/>
  <c r="G18" i="10"/>
  <c r="G17" i="10"/>
  <c r="G26" i="10"/>
  <c r="G22" i="10"/>
  <c r="G40" i="10"/>
  <c r="G38" i="10"/>
  <c r="G39" i="10"/>
  <c r="G6" i="22"/>
  <c r="G49" i="22" s="1"/>
  <c r="G29" i="22" l="1"/>
  <c r="G31" i="22"/>
  <c r="G27" i="22"/>
  <c r="G30" i="22"/>
  <c r="G26" i="22"/>
  <c r="G28" i="22"/>
  <c r="G45" i="22"/>
  <c r="G44" i="22"/>
  <c r="G42" i="22"/>
  <c r="G43" i="22"/>
  <c r="G36" i="21"/>
  <c r="G41" i="21"/>
  <c r="G43" i="21"/>
  <c r="G44" i="21"/>
  <c r="G42" i="21"/>
  <c r="G20" i="23"/>
  <c r="G22" i="23"/>
  <c r="G21" i="23"/>
  <c r="G23" i="23"/>
  <c r="G37" i="23"/>
  <c r="G22" i="21"/>
  <c r="G48" i="21"/>
  <c r="G49" i="21"/>
  <c r="G50" i="21"/>
  <c r="G37" i="21"/>
  <c r="G28" i="23"/>
  <c r="G47" i="21"/>
  <c r="G48" i="23"/>
  <c r="G25" i="22"/>
  <c r="G49" i="23"/>
  <c r="G30" i="21"/>
  <c r="G51" i="23"/>
  <c r="G50" i="23"/>
  <c r="G26" i="21"/>
  <c r="G16" i="21"/>
  <c r="Q46" i="17"/>
  <c r="U46" i="17"/>
  <c r="S46" i="17"/>
  <c r="O46" i="17"/>
  <c r="Q78" i="24"/>
  <c r="T28" i="17"/>
  <c r="U32" i="17" s="1"/>
  <c r="R28" i="17"/>
  <c r="P28" i="17"/>
  <c r="Q50" i="17" s="1"/>
  <c r="N28" i="17"/>
  <c r="O50" i="17" s="1"/>
  <c r="H69" i="22"/>
  <c r="E73" i="22" s="1"/>
  <c r="H59" i="21"/>
  <c r="H70" i="10"/>
  <c r="L27" i="24"/>
  <c r="K27" i="24"/>
  <c r="K120" i="24"/>
  <c r="L120" i="24"/>
  <c r="M120" i="24"/>
  <c r="N120" i="24"/>
  <c r="L119" i="24"/>
  <c r="M119" i="24"/>
  <c r="N119" i="24"/>
  <c r="K119" i="24"/>
  <c r="K73" i="24"/>
  <c r="L73" i="24"/>
  <c r="M73" i="24"/>
  <c r="N73" i="24"/>
  <c r="K71" i="24"/>
  <c r="L71" i="24"/>
  <c r="D8" i="23"/>
  <c r="D8" i="22"/>
  <c r="D8" i="21"/>
  <c r="D8" i="10"/>
  <c r="D8" i="11"/>
  <c r="K21" i="17" s="1"/>
  <c r="N4" i="24"/>
  <c r="D5" i="22" s="1"/>
  <c r="L4" i="24"/>
  <c r="D5" i="21" s="1"/>
  <c r="K4" i="24"/>
  <c r="K72" i="24" s="1"/>
  <c r="C69" i="23"/>
  <c r="E65" i="23"/>
  <c r="C77" i="22"/>
  <c r="C78" i="10"/>
  <c r="C79" i="9"/>
  <c r="F49" i="5" s="1"/>
  <c r="E49" i="5" s="1"/>
  <c r="H71" i="9"/>
  <c r="E74" i="9" s="1"/>
  <c r="G41" i="23"/>
  <c r="G40" i="23"/>
  <c r="G34" i="21"/>
  <c r="G33" i="21"/>
  <c r="G32" i="21"/>
  <c r="G44" i="10"/>
  <c r="G43" i="10"/>
  <c r="G45" i="23"/>
  <c r="G47" i="23" s="1"/>
  <c r="E47" i="23" s="1"/>
  <c r="G48" i="22"/>
  <c r="G50" i="22" s="1"/>
  <c r="E50" i="22" s="1"/>
  <c r="T9" i="17" s="1"/>
  <c r="G25" i="23"/>
  <c r="G24" i="23"/>
  <c r="G19" i="23"/>
  <c r="G18" i="23"/>
  <c r="G17" i="23"/>
  <c r="G16" i="23"/>
  <c r="G56" i="22"/>
  <c r="G59" i="10"/>
  <c r="E59" i="10" s="1"/>
  <c r="U50" i="17"/>
  <c r="S50" i="17"/>
  <c r="I121" i="24"/>
  <c r="H121" i="24"/>
  <c r="G121" i="24"/>
  <c r="F121" i="24"/>
  <c r="I120" i="24"/>
  <c r="H120" i="24"/>
  <c r="G120" i="24"/>
  <c r="F120" i="24"/>
  <c r="F114" i="24"/>
  <c r="P105" i="24"/>
  <c r="H105" i="24"/>
  <c r="P104" i="24"/>
  <c r="H104" i="24"/>
  <c r="P103" i="24"/>
  <c r="H103" i="24"/>
  <c r="P102" i="24"/>
  <c r="H102" i="24"/>
  <c r="P101" i="24"/>
  <c r="H101" i="24"/>
  <c r="P100" i="24"/>
  <c r="H100" i="24"/>
  <c r="P99" i="24"/>
  <c r="H99" i="24"/>
  <c r="P98" i="24"/>
  <c r="H98" i="24"/>
  <c r="P97" i="24"/>
  <c r="H97" i="24"/>
  <c r="P96" i="24"/>
  <c r="H96" i="24"/>
  <c r="F95" i="24"/>
  <c r="P95" i="24" s="1"/>
  <c r="P94" i="24"/>
  <c r="H94" i="24"/>
  <c r="F75" i="24"/>
  <c r="G75" i="24" s="1"/>
  <c r="H74" i="24"/>
  <c r="G74" i="24"/>
  <c r="I73" i="24"/>
  <c r="G73" i="24"/>
  <c r="F73" i="24"/>
  <c r="N71" i="24"/>
  <c r="M71" i="24"/>
  <c r="I71" i="24"/>
  <c r="H71" i="24"/>
  <c r="G71" i="24"/>
  <c r="F71" i="24"/>
  <c r="Z18" i="24"/>
  <c r="AA12" i="24" s="1"/>
  <c r="Y16" i="24"/>
  <c r="Y17" i="24" s="1"/>
  <c r="AB12" i="24"/>
  <c r="H8" i="24"/>
  <c r="H73" i="24" s="1"/>
  <c r="Y5" i="24"/>
  <c r="Z4" i="24"/>
  <c r="Z5" i="24" s="1"/>
  <c r="Z8" i="24" s="1"/>
  <c r="I4" i="24"/>
  <c r="F5" i="18"/>
  <c r="F4" i="24"/>
  <c r="G52" i="23"/>
  <c r="G42" i="23"/>
  <c r="G36" i="23"/>
  <c r="G35" i="23"/>
  <c r="G34" i="23"/>
  <c r="G33" i="23"/>
  <c r="G32" i="23"/>
  <c r="G31" i="23"/>
  <c r="G30" i="23"/>
  <c r="G29" i="23"/>
  <c r="G27" i="23"/>
  <c r="G26" i="23"/>
  <c r="G15" i="23"/>
  <c r="G55" i="22"/>
  <c r="G54" i="22"/>
  <c r="G53" i="22"/>
  <c r="G52" i="22"/>
  <c r="G51" i="22"/>
  <c r="G39" i="22"/>
  <c r="G38" i="22"/>
  <c r="G37" i="22"/>
  <c r="G36" i="22"/>
  <c r="G35" i="22"/>
  <c r="G34" i="22"/>
  <c r="G33" i="22"/>
  <c r="G24" i="22"/>
  <c r="G23" i="22"/>
  <c r="G22" i="22"/>
  <c r="G21" i="22"/>
  <c r="G20" i="22"/>
  <c r="G19" i="22"/>
  <c r="G18" i="22"/>
  <c r="G17" i="22"/>
  <c r="G16" i="22"/>
  <c r="G15" i="22"/>
  <c r="G38" i="21"/>
  <c r="G35" i="21"/>
  <c r="G29" i="21"/>
  <c r="G28" i="21"/>
  <c r="G27" i="21"/>
  <c r="G25" i="21"/>
  <c r="G24" i="21"/>
  <c r="G23" i="21"/>
  <c r="G21" i="21"/>
  <c r="G20" i="21"/>
  <c r="G19" i="21"/>
  <c r="G18" i="21"/>
  <c r="G17" i="21"/>
  <c r="G15" i="21"/>
  <c r="O44" i="19"/>
  <c r="O43" i="19"/>
  <c r="O42" i="19"/>
  <c r="O41" i="19"/>
  <c r="O40" i="19"/>
  <c r="O35" i="19"/>
  <c r="O34" i="19"/>
  <c r="O33" i="19"/>
  <c r="O32" i="19"/>
  <c r="O31" i="19"/>
  <c r="O26" i="19"/>
  <c r="O25" i="19"/>
  <c r="O24" i="19"/>
  <c r="O23" i="19"/>
  <c r="O22" i="19"/>
  <c r="O17" i="19"/>
  <c r="O16" i="19"/>
  <c r="O15" i="19"/>
  <c r="O14" i="19"/>
  <c r="O13" i="19"/>
  <c r="O8" i="19"/>
  <c r="O7" i="19"/>
  <c r="O6" i="19"/>
  <c r="O5" i="19"/>
  <c r="O4" i="19"/>
  <c r="H25" i="18"/>
  <c r="H24" i="18"/>
  <c r="F6" i="18"/>
  <c r="E4" i="18"/>
  <c r="E6" i="18" s="1"/>
  <c r="D4" i="18"/>
  <c r="K46" i="17"/>
  <c r="I46" i="17"/>
  <c r="G46" i="17"/>
  <c r="C44" i="17"/>
  <c r="C43" i="17"/>
  <c r="C41" i="17"/>
  <c r="C40" i="17"/>
  <c r="C39" i="17"/>
  <c r="J28" i="17"/>
  <c r="K32" i="17" s="1"/>
  <c r="H28" i="17"/>
  <c r="F28" i="17"/>
  <c r="D28" i="17"/>
  <c r="E32" i="17" s="1"/>
  <c r="I20" i="17"/>
  <c r="I35" i="17" s="1"/>
  <c r="G20" i="17"/>
  <c r="E20" i="17"/>
  <c r="D20" i="17" s="1"/>
  <c r="AC19" i="17"/>
  <c r="J18" i="17"/>
  <c r="U16" i="17"/>
  <c r="T16" i="17"/>
  <c r="S16" i="17"/>
  <c r="R16" i="17"/>
  <c r="Q16" i="17"/>
  <c r="P16" i="17"/>
  <c r="O16" i="17"/>
  <c r="N16" i="17"/>
  <c r="K16" i="17"/>
  <c r="J16" i="17"/>
  <c r="I16" i="17"/>
  <c r="H16" i="17"/>
  <c r="G16" i="17"/>
  <c r="F16" i="17"/>
  <c r="E16" i="17"/>
  <c r="D16" i="17"/>
  <c r="T15" i="17"/>
  <c r="R15" i="17"/>
  <c r="P15" i="17"/>
  <c r="N15" i="17"/>
  <c r="J15" i="17"/>
  <c r="H15" i="17"/>
  <c r="F15" i="17"/>
  <c r="D15" i="17"/>
  <c r="T2" i="17"/>
  <c r="J2" i="17"/>
  <c r="AF41" i="15"/>
  <c r="AF40" i="15"/>
  <c r="AF39" i="15"/>
  <c r="C30" i="15"/>
  <c r="C31" i="15" s="1"/>
  <c r="O29" i="15"/>
  <c r="C29" i="15"/>
  <c r="C28" i="15"/>
  <c r="AF23" i="15"/>
  <c r="AN21" i="15"/>
  <c r="V24" i="15" s="1"/>
  <c r="AF19" i="15"/>
  <c r="AF17" i="15"/>
  <c r="AC17" i="15"/>
  <c r="AO12" i="15"/>
  <c r="V12" i="15" s="1"/>
  <c r="AN12" i="15"/>
  <c r="AN13" i="15" s="1"/>
  <c r="AE12" i="15"/>
  <c r="AN10" i="15"/>
  <c r="AD4" i="15"/>
  <c r="U2" i="15"/>
  <c r="AF2" i="15" s="1"/>
  <c r="E4" i="14"/>
  <c r="E5" i="14" s="1"/>
  <c r="E6" i="14" s="1"/>
  <c r="E7" i="14" s="1"/>
  <c r="E8" i="14" s="1"/>
  <c r="E9" i="14" s="1"/>
  <c r="E10" i="14" s="1"/>
  <c r="E11" i="14" s="1"/>
  <c r="E12" i="14" s="1"/>
  <c r="E13" i="14" s="1"/>
  <c r="E14" i="14" s="1"/>
  <c r="E15" i="14" s="1"/>
  <c r="E16" i="14" s="1"/>
  <c r="E17" i="14" s="1"/>
  <c r="E18" i="14" s="1"/>
  <c r="E19" i="14" s="1"/>
  <c r="E20" i="14" s="1"/>
  <c r="E21" i="14" s="1"/>
  <c r="E22" i="14" s="1"/>
  <c r="E23" i="14" s="1"/>
  <c r="E24" i="14" s="1"/>
  <c r="E25" i="14" s="1"/>
  <c r="E26" i="14" s="1"/>
  <c r="E27" i="14" s="1"/>
  <c r="E28" i="14" s="1"/>
  <c r="E29" i="14" s="1"/>
  <c r="E30" i="14" s="1"/>
  <c r="E31" i="14" s="1"/>
  <c r="E32" i="14" s="1"/>
  <c r="E33" i="14" s="1"/>
  <c r="D4" i="14"/>
  <c r="D5" i="14" s="1"/>
  <c r="C4" i="14"/>
  <c r="C5" i="14" s="1"/>
  <c r="C6" i="14" s="1"/>
  <c r="C7" i="14" s="1"/>
  <c r="C8" i="14" s="1"/>
  <c r="C9" i="14" s="1"/>
  <c r="C10" i="14" s="1"/>
  <c r="C11" i="14" s="1"/>
  <c r="C12" i="14" s="1"/>
  <c r="C13" i="14" s="1"/>
  <c r="C14" i="14" s="1"/>
  <c r="C15" i="14" s="1"/>
  <c r="C16" i="14" s="1"/>
  <c r="C17" i="14" s="1"/>
  <c r="C18" i="14" s="1"/>
  <c r="C19" i="14" s="1"/>
  <c r="C20" i="14" s="1"/>
  <c r="C21" i="14" s="1"/>
  <c r="C22" i="14" s="1"/>
  <c r="C23" i="14" s="1"/>
  <c r="C24" i="14" s="1"/>
  <c r="C25" i="14" s="1"/>
  <c r="C26" i="14" s="1"/>
  <c r="C27" i="14" s="1"/>
  <c r="C28" i="14" s="1"/>
  <c r="C29" i="14" s="1"/>
  <c r="C30" i="14" s="1"/>
  <c r="C31" i="14" s="1"/>
  <c r="C32" i="14" s="1"/>
  <c r="C33" i="14" s="1"/>
  <c r="B4" i="14"/>
  <c r="B5" i="14" s="1"/>
  <c r="I3" i="14"/>
  <c r="F3" i="14"/>
  <c r="H3" i="14" s="1"/>
  <c r="J3" i="14" s="1"/>
  <c r="A24" i="13"/>
  <c r="D23" i="13"/>
  <c r="F23" i="13" s="1"/>
  <c r="W9" i="13"/>
  <c r="W8" i="13"/>
  <c r="P8" i="13"/>
  <c r="Q8" i="13" s="1"/>
  <c r="D8" i="13"/>
  <c r="G4" i="13" s="1"/>
  <c r="P6" i="13"/>
  <c r="P7" i="13" s="1"/>
  <c r="C47" i="12"/>
  <c r="C43" i="12"/>
  <c r="C42" i="12"/>
  <c r="L39" i="12"/>
  <c r="C39" i="12"/>
  <c r="E33" i="12"/>
  <c r="C33" i="12"/>
  <c r="F30" i="12"/>
  <c r="E30" i="12"/>
  <c r="C30" i="12"/>
  <c r="F29" i="12"/>
  <c r="E29" i="12"/>
  <c r="C29" i="12"/>
  <c r="F28" i="12"/>
  <c r="E28" i="12"/>
  <c r="C28" i="12"/>
  <c r="F26" i="12"/>
  <c r="E26" i="12"/>
  <c r="C26" i="12"/>
  <c r="F23" i="12"/>
  <c r="E23" i="12"/>
  <c r="C23" i="12"/>
  <c r="F22" i="12"/>
  <c r="E22" i="12"/>
  <c r="C22" i="12"/>
  <c r="F19" i="12"/>
  <c r="E19" i="12"/>
  <c r="C19" i="12"/>
  <c r="F18" i="12"/>
  <c r="E18" i="12"/>
  <c r="C18" i="12"/>
  <c r="F17" i="12"/>
  <c r="E17" i="12"/>
  <c r="C17" i="12"/>
  <c r="F16" i="12"/>
  <c r="E16" i="12"/>
  <c r="C16" i="12"/>
  <c r="F15" i="12"/>
  <c r="E15" i="12"/>
  <c r="C15" i="12"/>
  <c r="D8" i="12"/>
  <c r="I6" i="12"/>
  <c r="C64" i="11"/>
  <c r="F48" i="4" s="1"/>
  <c r="E48" i="4" s="1"/>
  <c r="K20" i="17"/>
  <c r="K35" i="17" s="1"/>
  <c r="H56" i="11"/>
  <c r="G6" i="11"/>
  <c r="G45" i="10"/>
  <c r="G16" i="10"/>
  <c r="G25" i="10"/>
  <c r="G28" i="10"/>
  <c r="G35" i="10"/>
  <c r="G20" i="10"/>
  <c r="G19" i="10"/>
  <c r="G34" i="10"/>
  <c r="G15" i="10"/>
  <c r="G65" i="9"/>
  <c r="D9" i="17"/>
  <c r="D8" i="9"/>
  <c r="G6" i="9"/>
  <c r="G54" i="9" s="1"/>
  <c r="C74" i="8"/>
  <c r="F54" i="3" s="1"/>
  <c r="E54" i="3" s="1"/>
  <c r="H59" i="8"/>
  <c r="J39" i="3" s="1"/>
  <c r="D8" i="8"/>
  <c r="W21" i="17" s="1"/>
  <c r="G6" i="8"/>
  <c r="C64" i="7"/>
  <c r="G59" i="7"/>
  <c r="H48" i="7"/>
  <c r="D8" i="7"/>
  <c r="G53" i="6"/>
  <c r="G57" i="27" s="1"/>
  <c r="H52" i="6"/>
  <c r="J43" i="2" s="1"/>
  <c r="V15" i="6"/>
  <c r="D8" i="6"/>
  <c r="G6" i="6"/>
  <c r="C45" i="5"/>
  <c r="C44" i="5"/>
  <c r="C41" i="5"/>
  <c r="F35" i="5"/>
  <c r="E35" i="5"/>
  <c r="C35" i="5"/>
  <c r="F32" i="5"/>
  <c r="E32" i="5"/>
  <c r="C32" i="5"/>
  <c r="F31" i="5"/>
  <c r="E31" i="5"/>
  <c r="C31" i="5"/>
  <c r="F30" i="5"/>
  <c r="E30" i="5"/>
  <c r="C30" i="5"/>
  <c r="F29" i="5"/>
  <c r="E29" i="5"/>
  <c r="C29" i="5"/>
  <c r="F27" i="5"/>
  <c r="E27" i="5"/>
  <c r="C27" i="5"/>
  <c r="C24" i="5"/>
  <c r="F23" i="5"/>
  <c r="E23" i="5"/>
  <c r="C23" i="5"/>
  <c r="F20" i="5"/>
  <c r="E20" i="5"/>
  <c r="C20" i="5"/>
  <c r="F19" i="5"/>
  <c r="E19" i="5"/>
  <c r="C19" i="5"/>
  <c r="F18" i="5"/>
  <c r="E18" i="5"/>
  <c r="C18" i="5"/>
  <c r="F17" i="5"/>
  <c r="E17" i="5"/>
  <c r="C17" i="5"/>
  <c r="F16" i="5"/>
  <c r="E16" i="5"/>
  <c r="C16" i="5"/>
  <c r="F15" i="5"/>
  <c r="E15" i="5"/>
  <c r="C15" i="5"/>
  <c r="D8" i="5"/>
  <c r="C8" i="5"/>
  <c r="J7" i="5"/>
  <c r="H24" i="5" s="1"/>
  <c r="J5" i="5"/>
  <c r="C5" i="5"/>
  <c r="H47" i="12" s="1"/>
  <c r="H48" i="12" s="1"/>
  <c r="C43" i="4"/>
  <c r="C40" i="4"/>
  <c r="F34" i="4"/>
  <c r="E34" i="4"/>
  <c r="C34" i="4"/>
  <c r="F31" i="4"/>
  <c r="E31" i="4"/>
  <c r="C31" i="4"/>
  <c r="F30" i="4"/>
  <c r="E30" i="4"/>
  <c r="C30" i="4"/>
  <c r="F29" i="4"/>
  <c r="E29" i="4"/>
  <c r="C29" i="4"/>
  <c r="F27" i="4"/>
  <c r="E27" i="4"/>
  <c r="C27" i="4"/>
  <c r="F24" i="4"/>
  <c r="E24" i="4"/>
  <c r="C24" i="4"/>
  <c r="F23" i="4"/>
  <c r="E23" i="4"/>
  <c r="C23" i="4"/>
  <c r="F20" i="4"/>
  <c r="E20" i="4"/>
  <c r="F19" i="4"/>
  <c r="E19" i="4"/>
  <c r="C19" i="4"/>
  <c r="W18" i="4"/>
  <c r="Z18" i="4" s="1"/>
  <c r="V18" i="4"/>
  <c r="F18" i="4"/>
  <c r="E18" i="4"/>
  <c r="C18" i="4"/>
  <c r="W17" i="4"/>
  <c r="Z17" i="4" s="1"/>
  <c r="V17" i="4"/>
  <c r="F17" i="4"/>
  <c r="E17" i="4"/>
  <c r="C17" i="4"/>
  <c r="W16" i="4"/>
  <c r="V16" i="4"/>
  <c r="F16" i="4"/>
  <c r="E16" i="4"/>
  <c r="C16" i="4"/>
  <c r="F15" i="4"/>
  <c r="E15" i="4"/>
  <c r="C15" i="4"/>
  <c r="D8" i="4"/>
  <c r="C8" i="4"/>
  <c r="J7" i="4"/>
  <c r="J5" i="4"/>
  <c r="C5" i="4"/>
  <c r="C42" i="3"/>
  <c r="C41" i="3"/>
  <c r="C38" i="3"/>
  <c r="F33" i="3"/>
  <c r="E33" i="3"/>
  <c r="C33" i="3"/>
  <c r="F30" i="3"/>
  <c r="E30" i="3"/>
  <c r="C30" i="3"/>
  <c r="F29" i="3"/>
  <c r="E29" i="3"/>
  <c r="C29" i="3"/>
  <c r="F28" i="3"/>
  <c r="E28" i="3"/>
  <c r="C28" i="3"/>
  <c r="F26" i="3"/>
  <c r="E26" i="3"/>
  <c r="C26" i="3"/>
  <c r="F21" i="3"/>
  <c r="E21" i="3"/>
  <c r="C21" i="3"/>
  <c r="F20" i="3"/>
  <c r="E20" i="3"/>
  <c r="C20" i="3"/>
  <c r="F19" i="3"/>
  <c r="E19" i="3"/>
  <c r="C19" i="3"/>
  <c r="F18" i="3"/>
  <c r="E18" i="3"/>
  <c r="C18" i="3"/>
  <c r="F17" i="3"/>
  <c r="E17" i="3"/>
  <c r="C17" i="3"/>
  <c r="F16" i="3"/>
  <c r="E16" i="3"/>
  <c r="C16" i="3"/>
  <c r="F15" i="3"/>
  <c r="E15" i="3"/>
  <c r="C15" i="3"/>
  <c r="D8" i="3"/>
  <c r="C8" i="3"/>
  <c r="J7" i="3"/>
  <c r="J5" i="3"/>
  <c r="C5" i="3"/>
  <c r="C46" i="2"/>
  <c r="C45" i="2"/>
  <c r="C42" i="2"/>
  <c r="F36" i="2"/>
  <c r="E36" i="2"/>
  <c r="C36" i="2"/>
  <c r="F33" i="2"/>
  <c r="E33" i="2"/>
  <c r="C33" i="2"/>
  <c r="F32" i="2"/>
  <c r="E32" i="2"/>
  <c r="C32" i="2"/>
  <c r="F31" i="2"/>
  <c r="E31" i="2"/>
  <c r="C31" i="2"/>
  <c r="F30" i="2"/>
  <c r="E30" i="2"/>
  <c r="C30" i="2"/>
  <c r="C28" i="2"/>
  <c r="F28" i="2" s="1"/>
  <c r="F25" i="2"/>
  <c r="E25" i="2"/>
  <c r="C25" i="2"/>
  <c r="F24" i="2"/>
  <c r="E24" i="2"/>
  <c r="C24" i="2"/>
  <c r="F21" i="2"/>
  <c r="E21" i="2"/>
  <c r="C21" i="2"/>
  <c r="F20" i="2"/>
  <c r="E20" i="2"/>
  <c r="C20" i="2"/>
  <c r="F19" i="2"/>
  <c r="E19" i="2"/>
  <c r="C19" i="2"/>
  <c r="F18" i="2"/>
  <c r="E18" i="2"/>
  <c r="C18" i="2"/>
  <c r="F17" i="2"/>
  <c r="E17" i="2"/>
  <c r="C17" i="2"/>
  <c r="F16" i="2"/>
  <c r="E16" i="2"/>
  <c r="C16" i="2"/>
  <c r="F15" i="2"/>
  <c r="E15" i="2"/>
  <c r="C15" i="2"/>
  <c r="D8" i="2"/>
  <c r="C8" i="2"/>
  <c r="J7" i="2"/>
  <c r="J5" i="2"/>
  <c r="C5" i="2"/>
  <c r="G24" i="11" l="1"/>
  <c r="G42" i="11"/>
  <c r="G40" i="11"/>
  <c r="E61" i="26"/>
  <c r="E5" i="18"/>
  <c r="E9" i="18" s="1"/>
  <c r="E11" i="18" s="1"/>
  <c r="D10" i="27"/>
  <c r="H42" i="27" s="1"/>
  <c r="J102" i="24"/>
  <c r="J96" i="24"/>
  <c r="J109" i="24"/>
  <c r="J94" i="24"/>
  <c r="J105" i="24"/>
  <c r="J101" i="24"/>
  <c r="J100" i="24"/>
  <c r="J113" i="24"/>
  <c r="J99" i="24"/>
  <c r="J112" i="24"/>
  <c r="J98" i="24"/>
  <c r="J111" i="24"/>
  <c r="J97" i="24"/>
  <c r="J110" i="24"/>
  <c r="J104" i="24"/>
  <c r="J103" i="24"/>
  <c r="W34" i="17"/>
  <c r="V21" i="17"/>
  <c r="V34" i="17" s="1"/>
  <c r="D10" i="26"/>
  <c r="G47" i="26"/>
  <c r="G45" i="21"/>
  <c r="E45" i="21" s="1"/>
  <c r="P9" i="17" s="1"/>
  <c r="P41" i="17" s="1"/>
  <c r="G23" i="9"/>
  <c r="G26" i="9"/>
  <c r="G18" i="9"/>
  <c r="G25" i="9"/>
  <c r="G41" i="10"/>
  <c r="E41" i="10" s="1"/>
  <c r="G18" i="11"/>
  <c r="G30" i="11"/>
  <c r="G29" i="11"/>
  <c r="G25" i="11"/>
  <c r="G28" i="11"/>
  <c r="G26" i="11"/>
  <c r="G23" i="11"/>
  <c r="G27" i="11"/>
  <c r="G19" i="9"/>
  <c r="G17" i="9"/>
  <c r="F5" i="14"/>
  <c r="H32" i="2"/>
  <c r="F4" i="14"/>
  <c r="H4" i="14" s="1"/>
  <c r="D10" i="21"/>
  <c r="G53" i="21" s="1"/>
  <c r="P11" i="17" s="1"/>
  <c r="AC17" i="17"/>
  <c r="AD17" i="17" s="1"/>
  <c r="AE17" i="17" s="1"/>
  <c r="D5" i="18"/>
  <c r="D9" i="18" s="1"/>
  <c r="C20" i="18"/>
  <c r="G25" i="8"/>
  <c r="G29" i="8"/>
  <c r="G32" i="8"/>
  <c r="G29" i="9"/>
  <c r="G31" i="9"/>
  <c r="G37" i="9"/>
  <c r="G30" i="9"/>
  <c r="G28" i="18"/>
  <c r="H22" i="12"/>
  <c r="K22" i="12" s="1"/>
  <c r="K24" i="12" s="1"/>
  <c r="T32" i="17"/>
  <c r="G49" i="7"/>
  <c r="F106" i="24"/>
  <c r="O30" i="15"/>
  <c r="P9" i="13"/>
  <c r="H5" i="14"/>
  <c r="G24" i="9"/>
  <c r="G33" i="8"/>
  <c r="G26" i="8"/>
  <c r="G28" i="8"/>
  <c r="G31" i="8"/>
  <c r="G28" i="9"/>
  <c r="D5" i="3"/>
  <c r="D10" i="3" s="1"/>
  <c r="D5" i="5"/>
  <c r="AF21" i="15"/>
  <c r="D5" i="8"/>
  <c r="E74" i="8" s="1"/>
  <c r="D5" i="9"/>
  <c r="D10" i="9" s="1"/>
  <c r="N32" i="17"/>
  <c r="D32" i="17"/>
  <c r="I72" i="24"/>
  <c r="H15" i="12"/>
  <c r="K15" i="12" s="1"/>
  <c r="K20" i="12" s="1"/>
  <c r="H18" i="12"/>
  <c r="K18" i="12" s="1"/>
  <c r="H33" i="12"/>
  <c r="K33" i="12" s="1"/>
  <c r="H33" i="2"/>
  <c r="I33" i="2"/>
  <c r="G26" i="6"/>
  <c r="G16" i="6"/>
  <c r="I32" i="2"/>
  <c r="G17" i="6"/>
  <c r="G51" i="21"/>
  <c r="E51" i="21" s="1"/>
  <c r="P10" i="17" s="1"/>
  <c r="H17" i="12"/>
  <c r="K17" i="12" s="1"/>
  <c r="E28" i="2"/>
  <c r="H28" i="2" s="1"/>
  <c r="D5" i="4"/>
  <c r="D10" i="4" s="1"/>
  <c r="G40" i="6"/>
  <c r="G42" i="6"/>
  <c r="G39" i="6"/>
  <c r="G41" i="6"/>
  <c r="G41" i="8"/>
  <c r="G40" i="8"/>
  <c r="G39" i="8"/>
  <c r="G42" i="8"/>
  <c r="T11" i="24"/>
  <c r="G33" i="11"/>
  <c r="G32" i="11"/>
  <c r="I31" i="4"/>
  <c r="H31" i="4"/>
  <c r="G46" i="11"/>
  <c r="G45" i="11"/>
  <c r="I30" i="4"/>
  <c r="G47" i="11"/>
  <c r="H17" i="4"/>
  <c r="G44" i="11"/>
  <c r="G34" i="9"/>
  <c r="G42" i="9"/>
  <c r="G39" i="9"/>
  <c r="G36" i="9"/>
  <c r="G33" i="9"/>
  <c r="G40" i="9"/>
  <c r="G32" i="9"/>
  <c r="G22" i="9"/>
  <c r="G27" i="9"/>
  <c r="G20" i="9"/>
  <c r="G44" i="9"/>
  <c r="G16" i="9"/>
  <c r="G43" i="9"/>
  <c r="G21" i="9"/>
  <c r="G35" i="9"/>
  <c r="G38" i="9"/>
  <c r="G41" i="9"/>
  <c r="G59" i="9"/>
  <c r="I31" i="5"/>
  <c r="G56" i="9"/>
  <c r="J41" i="5"/>
  <c r="G57" i="9"/>
  <c r="G58" i="9"/>
  <c r="G47" i="9"/>
  <c r="H30" i="5"/>
  <c r="I30" i="5"/>
  <c r="C44" i="4"/>
  <c r="G27" i="8"/>
  <c r="G24" i="8"/>
  <c r="G35" i="8"/>
  <c r="G34" i="8"/>
  <c r="G30" i="8"/>
  <c r="G17" i="8"/>
  <c r="I28" i="3"/>
  <c r="G48" i="8"/>
  <c r="G21" i="17"/>
  <c r="G34" i="17" s="1"/>
  <c r="G50" i="8"/>
  <c r="I17" i="3"/>
  <c r="G49" i="8"/>
  <c r="H23" i="12"/>
  <c r="K23" i="12" s="1"/>
  <c r="H26" i="12"/>
  <c r="K26" i="12" s="1"/>
  <c r="H28" i="12"/>
  <c r="K28" i="12" s="1"/>
  <c r="K31" i="12" s="1"/>
  <c r="H19" i="12"/>
  <c r="K19" i="12" s="1"/>
  <c r="G35" i="17"/>
  <c r="D10" i="23"/>
  <c r="F8" i="3"/>
  <c r="G58" i="22"/>
  <c r="E58" i="22" s="1"/>
  <c r="G46" i="22"/>
  <c r="E72" i="22"/>
  <c r="G53" i="23"/>
  <c r="E53" i="23" s="1"/>
  <c r="I18" i="5"/>
  <c r="I19" i="5"/>
  <c r="I17" i="5"/>
  <c r="G37" i="11"/>
  <c r="I16" i="5"/>
  <c r="I15" i="5"/>
  <c r="AB16" i="24"/>
  <c r="E77" i="22"/>
  <c r="E78" i="22" s="1"/>
  <c r="AF14" i="15"/>
  <c r="D5" i="6"/>
  <c r="D10" i="6" s="1"/>
  <c r="H37" i="6" s="1"/>
  <c r="H95" i="24"/>
  <c r="H106" i="24" s="1"/>
  <c r="H54" i="3"/>
  <c r="H55" i="3" s="1"/>
  <c r="H16" i="5"/>
  <c r="C10" i="2"/>
  <c r="F8" i="5"/>
  <c r="H17" i="5"/>
  <c r="H15" i="2"/>
  <c r="H22" i="2" s="1"/>
  <c r="E22" i="2" s="1"/>
  <c r="Q21" i="17"/>
  <c r="Q34" i="17" s="1"/>
  <c r="H17" i="3"/>
  <c r="H20" i="3"/>
  <c r="H30" i="3"/>
  <c r="H19" i="5"/>
  <c r="I15" i="2"/>
  <c r="H16" i="3"/>
  <c r="H18" i="4"/>
  <c r="H23" i="5"/>
  <c r="H25" i="5" s="1"/>
  <c r="E25" i="5" s="1"/>
  <c r="H29" i="5"/>
  <c r="H33" i="5" s="1"/>
  <c r="E33" i="5" s="1"/>
  <c r="H15" i="3"/>
  <c r="H22" i="3" s="1"/>
  <c r="E22" i="3" s="1"/>
  <c r="H16" i="2"/>
  <c r="H20" i="4"/>
  <c r="H27" i="4"/>
  <c r="H18" i="5"/>
  <c r="H27" i="5"/>
  <c r="H31" i="5"/>
  <c r="G39" i="21"/>
  <c r="E39" i="21" s="1"/>
  <c r="P8" i="17" s="1"/>
  <c r="P40" i="17" s="1"/>
  <c r="G31" i="21"/>
  <c r="H31" i="2"/>
  <c r="H19" i="3"/>
  <c r="H30" i="4"/>
  <c r="H49" i="5"/>
  <c r="H50" i="5" s="1"/>
  <c r="F8" i="2"/>
  <c r="H15" i="4"/>
  <c r="H21" i="4" s="1"/>
  <c r="E21" i="4" s="1"/>
  <c r="Y18" i="4"/>
  <c r="AA18" i="4" s="1"/>
  <c r="H20" i="5"/>
  <c r="F9" i="17"/>
  <c r="F41" i="17" s="1"/>
  <c r="I22" i="12"/>
  <c r="H19" i="2"/>
  <c r="C10" i="3"/>
  <c r="H17" i="2"/>
  <c r="I30" i="2"/>
  <c r="C10" i="4"/>
  <c r="H23" i="4"/>
  <c r="H25" i="4" s="1"/>
  <c r="I29" i="4"/>
  <c r="W15" i="6"/>
  <c r="F8" i="4"/>
  <c r="I27" i="5"/>
  <c r="I30" i="3"/>
  <c r="H33" i="3"/>
  <c r="Q20" i="17"/>
  <c r="Q35" i="17" s="1"/>
  <c r="H36" i="2"/>
  <c r="I20" i="4"/>
  <c r="H16" i="4"/>
  <c r="Y17" i="4"/>
  <c r="AA17" i="4" s="1"/>
  <c r="H19" i="4"/>
  <c r="H24" i="4"/>
  <c r="H48" i="4"/>
  <c r="H49" i="4" s="1"/>
  <c r="H15" i="5"/>
  <c r="H21" i="5" s="1"/>
  <c r="E21" i="5" s="1"/>
  <c r="G47" i="10"/>
  <c r="E47" i="10" s="1"/>
  <c r="F122" i="24"/>
  <c r="F124" i="24" s="1"/>
  <c r="D5" i="2"/>
  <c r="F5" i="2" s="1"/>
  <c r="D5" i="10"/>
  <c r="D10" i="10" s="1"/>
  <c r="H52" i="10" s="1"/>
  <c r="L72" i="24"/>
  <c r="D5" i="7"/>
  <c r="D10" i="7" s="1"/>
  <c r="M72" i="24"/>
  <c r="D10" i="22"/>
  <c r="N72" i="24"/>
  <c r="I15" i="4"/>
  <c r="I27" i="4"/>
  <c r="G19" i="6"/>
  <c r="G16" i="8"/>
  <c r="K34" i="17"/>
  <c r="D5" i="12"/>
  <c r="D10" i="12" s="1"/>
  <c r="I33" i="12" s="1"/>
  <c r="L33" i="12" s="1"/>
  <c r="H4" i="24"/>
  <c r="H72" i="24" s="1"/>
  <c r="I19" i="4"/>
  <c r="G31" i="11"/>
  <c r="D35" i="17"/>
  <c r="Z20" i="24"/>
  <c r="I16" i="2"/>
  <c r="I31" i="2"/>
  <c r="G23" i="8"/>
  <c r="G38" i="11"/>
  <c r="E35" i="17"/>
  <c r="AA13" i="24"/>
  <c r="I16" i="4"/>
  <c r="G31" i="6"/>
  <c r="G16" i="11"/>
  <c r="G35" i="11"/>
  <c r="AA14" i="24"/>
  <c r="I24" i="4"/>
  <c r="G15" i="9"/>
  <c r="H20" i="17"/>
  <c r="E79" i="9"/>
  <c r="I20" i="2"/>
  <c r="D5" i="11"/>
  <c r="D10" i="11" s="1"/>
  <c r="J32" i="17"/>
  <c r="AA16" i="24"/>
  <c r="E64" i="23"/>
  <c r="I17" i="2"/>
  <c r="I25" i="2"/>
  <c r="G17" i="11"/>
  <c r="E78" i="10"/>
  <c r="E69" i="23"/>
  <c r="E70" i="23" s="1"/>
  <c r="I26" i="3"/>
  <c r="G18" i="6"/>
  <c r="G20" i="6"/>
  <c r="I28" i="2"/>
  <c r="I17" i="4"/>
  <c r="I23" i="4"/>
  <c r="I20" i="5"/>
  <c r="I24" i="5"/>
  <c r="G30" i="6"/>
  <c r="G6" i="7"/>
  <c r="G34" i="7" s="1"/>
  <c r="H34" i="7" s="1"/>
  <c r="G15" i="11"/>
  <c r="I19" i="12"/>
  <c r="I26" i="12"/>
  <c r="C33" i="15"/>
  <c r="O32" i="17"/>
  <c r="E73" i="10"/>
  <c r="I20" i="3"/>
  <c r="I18" i="2"/>
  <c r="J40" i="4"/>
  <c r="G32" i="6"/>
  <c r="G38" i="8"/>
  <c r="G21" i="11"/>
  <c r="G41" i="11"/>
  <c r="I18" i="12"/>
  <c r="E74" i="10"/>
  <c r="I15" i="3"/>
  <c r="G22" i="6"/>
  <c r="I23" i="5"/>
  <c r="G23" i="6"/>
  <c r="G20" i="8"/>
  <c r="G36" i="8"/>
  <c r="G18" i="8"/>
  <c r="I18" i="3"/>
  <c r="I23" i="12"/>
  <c r="I21" i="3"/>
  <c r="I21" i="2"/>
  <c r="I29" i="3"/>
  <c r="I16" i="3"/>
  <c r="I29" i="5"/>
  <c r="G15" i="6"/>
  <c r="G33" i="6"/>
  <c r="G15" i="8"/>
  <c r="G45" i="8"/>
  <c r="G46" i="8" s="1"/>
  <c r="G19" i="11"/>
  <c r="G22" i="11"/>
  <c r="I15" i="12"/>
  <c r="I17" i="12"/>
  <c r="G24" i="6"/>
  <c r="G49" i="9"/>
  <c r="I24" i="2"/>
  <c r="I19" i="3"/>
  <c r="G21" i="6"/>
  <c r="G27" i="6"/>
  <c r="G19" i="8"/>
  <c r="G53" i="9"/>
  <c r="G38" i="23"/>
  <c r="G43" i="23"/>
  <c r="H28" i="3"/>
  <c r="H29" i="3"/>
  <c r="H18" i="2"/>
  <c r="H18" i="3"/>
  <c r="I32" i="5"/>
  <c r="H32" i="5"/>
  <c r="I19" i="2"/>
  <c r="H20" i="2"/>
  <c r="H24" i="2"/>
  <c r="H26" i="3"/>
  <c r="I18" i="4"/>
  <c r="H21" i="2"/>
  <c r="H25" i="2"/>
  <c r="H30" i="2"/>
  <c r="H21" i="3"/>
  <c r="C10" i="5"/>
  <c r="AA7" i="24"/>
  <c r="AA6" i="24"/>
  <c r="I29" i="12"/>
  <c r="I16" i="12"/>
  <c r="H16" i="12"/>
  <c r="K16" i="12" s="1"/>
  <c r="G25" i="6"/>
  <c r="D6" i="14"/>
  <c r="H29" i="4"/>
  <c r="I21" i="17"/>
  <c r="I34" i="17" s="1"/>
  <c r="I30" i="12"/>
  <c r="H30" i="12"/>
  <c r="K30" i="12" s="1"/>
  <c r="B6" i="14"/>
  <c r="J5" i="14"/>
  <c r="I5" i="14"/>
  <c r="G36" i="6"/>
  <c r="G38" i="6" s="1"/>
  <c r="E38" i="6" s="1"/>
  <c r="G57" i="11"/>
  <c r="I28" i="12"/>
  <c r="E75" i="9"/>
  <c r="H29" i="12"/>
  <c r="K29" i="12" s="1"/>
  <c r="G21" i="8"/>
  <c r="G48" i="9"/>
  <c r="G20" i="11"/>
  <c r="G36" i="11"/>
  <c r="J20" i="17"/>
  <c r="W12" i="13"/>
  <c r="H8" i="13" s="1"/>
  <c r="D41" i="17"/>
  <c r="G22" i="8"/>
  <c r="J21" i="17"/>
  <c r="J34" i="17" s="1"/>
  <c r="Q6" i="13"/>
  <c r="H9" i="17"/>
  <c r="H41" i="17" s="1"/>
  <c r="G32" i="22"/>
  <c r="E21" i="17"/>
  <c r="E34" i="17" s="1"/>
  <c r="D27" i="13"/>
  <c r="P12" i="13"/>
  <c r="D28" i="13" s="1"/>
  <c r="D29" i="13" s="1"/>
  <c r="F20" i="17"/>
  <c r="I4" i="14"/>
  <c r="J4" i="14"/>
  <c r="I75" i="24"/>
  <c r="L75" i="24" s="1"/>
  <c r="N75" i="24" s="1"/>
  <c r="O75" i="24" s="1"/>
  <c r="H75" i="24"/>
  <c r="X28" i="17"/>
  <c r="AA5" i="24"/>
  <c r="T9" i="24"/>
  <c r="F11" i="24"/>
  <c r="G11" i="24" s="1"/>
  <c r="AA4" i="24"/>
  <c r="F72" i="24"/>
  <c r="D6" i="18"/>
  <c r="AA15" i="24"/>
  <c r="Z17" i="24"/>
  <c r="AB17" i="24" s="1"/>
  <c r="Y19" i="24"/>
  <c r="G72" i="24"/>
  <c r="H54" i="22" l="1"/>
  <c r="H49" i="22"/>
  <c r="F5" i="24"/>
  <c r="W18" i="17" s="1"/>
  <c r="H54" i="9"/>
  <c r="H35" i="23"/>
  <c r="H46" i="23"/>
  <c r="H24" i="11"/>
  <c r="H40" i="11"/>
  <c r="H42" i="11"/>
  <c r="Q9" i="17"/>
  <c r="Q41" i="17" s="1"/>
  <c r="E9" i="17"/>
  <c r="E41" i="17" s="1"/>
  <c r="G55" i="9"/>
  <c r="E55" i="9" s="1"/>
  <c r="E46" i="22"/>
  <c r="T8" i="17" s="1"/>
  <c r="U8" i="17"/>
  <c r="K9" i="17"/>
  <c r="G43" i="11"/>
  <c r="E43" i="11" s="1"/>
  <c r="J9" i="17" s="1"/>
  <c r="K75" i="24"/>
  <c r="M75" i="24" s="1"/>
  <c r="J75" i="24"/>
  <c r="H44" i="21"/>
  <c r="H42" i="21"/>
  <c r="J95" i="24"/>
  <c r="J106" i="24" s="1"/>
  <c r="E64" i="27"/>
  <c r="J5" i="24"/>
  <c r="H29" i="27"/>
  <c r="H32" i="27"/>
  <c r="H38" i="27"/>
  <c r="H16" i="27"/>
  <c r="H30" i="27"/>
  <c r="H15" i="27"/>
  <c r="H24" i="27"/>
  <c r="H41" i="27"/>
  <c r="H43" i="27" s="1"/>
  <c r="H47" i="27"/>
  <c r="H23" i="27"/>
  <c r="H21" i="27"/>
  <c r="H46" i="27"/>
  <c r="H18" i="27"/>
  <c r="H37" i="27"/>
  <c r="H45" i="27"/>
  <c r="H20" i="27"/>
  <c r="H44" i="27"/>
  <c r="H28" i="27"/>
  <c r="G50" i="27"/>
  <c r="H25" i="27"/>
  <c r="B56" i="27"/>
  <c r="H27" i="27"/>
  <c r="H33" i="27"/>
  <c r="H22" i="27"/>
  <c r="H26" i="27"/>
  <c r="H35" i="27"/>
  <c r="H31" i="27"/>
  <c r="H36" i="27"/>
  <c r="H19" i="27"/>
  <c r="H17" i="27"/>
  <c r="J114" i="24"/>
  <c r="E46" i="8"/>
  <c r="V9" i="17" s="1"/>
  <c r="V41" i="17" s="1"/>
  <c r="W9" i="17"/>
  <c r="W41" i="17" s="1"/>
  <c r="G5" i="24"/>
  <c r="G10" i="24" s="1"/>
  <c r="G60" i="8"/>
  <c r="G54" i="26"/>
  <c r="G61" i="26"/>
  <c r="O5" i="24"/>
  <c r="H40" i="26"/>
  <c r="H17" i="9"/>
  <c r="H31" i="22"/>
  <c r="G49" i="26"/>
  <c r="H47" i="26"/>
  <c r="B52" i="26"/>
  <c r="H25" i="26"/>
  <c r="H35" i="26"/>
  <c r="H34" i="26"/>
  <c r="H17" i="26"/>
  <c r="H19" i="26"/>
  <c r="H26" i="26"/>
  <c r="H22" i="26"/>
  <c r="H24" i="26"/>
  <c r="H27" i="26"/>
  <c r="H21" i="26"/>
  <c r="H18" i="26"/>
  <c r="H44" i="26"/>
  <c r="H23" i="26"/>
  <c r="H32" i="26"/>
  <c r="H20" i="26"/>
  <c r="H31" i="26"/>
  <c r="H15" i="26"/>
  <c r="H16" i="26"/>
  <c r="H43" i="26"/>
  <c r="H33" i="26"/>
  <c r="H38" i="26"/>
  <c r="H28" i="26"/>
  <c r="H42" i="26"/>
  <c r="H29" i="26"/>
  <c r="E62" i="26"/>
  <c r="H27" i="22"/>
  <c r="H25" i="9"/>
  <c r="H18" i="9"/>
  <c r="H26" i="9"/>
  <c r="H23" i="9"/>
  <c r="H30" i="22"/>
  <c r="G26" i="7"/>
  <c r="H26" i="7" s="1"/>
  <c r="G28" i="7"/>
  <c r="H28" i="7" s="1"/>
  <c r="G29" i="7"/>
  <c r="H29" i="7" s="1"/>
  <c r="G39" i="7"/>
  <c r="H39" i="7" s="1"/>
  <c r="G37" i="7"/>
  <c r="H37" i="7" s="1"/>
  <c r="G36" i="7"/>
  <c r="H36" i="7" s="1"/>
  <c r="G38" i="7"/>
  <c r="H38" i="7" s="1"/>
  <c r="G27" i="7"/>
  <c r="H27" i="7" s="1"/>
  <c r="G30" i="7"/>
  <c r="H30" i="7" s="1"/>
  <c r="G25" i="7"/>
  <c r="H25" i="7" s="1"/>
  <c r="H26" i="22"/>
  <c r="H29" i="22"/>
  <c r="H28" i="22"/>
  <c r="H18" i="11"/>
  <c r="H43" i="21"/>
  <c r="H41" i="21"/>
  <c r="G37" i="8"/>
  <c r="H20" i="23"/>
  <c r="H21" i="23"/>
  <c r="H22" i="23"/>
  <c r="H23" i="23"/>
  <c r="H37" i="23"/>
  <c r="H20" i="10"/>
  <c r="H50" i="10"/>
  <c r="H51" i="10"/>
  <c r="H49" i="10"/>
  <c r="G39" i="11"/>
  <c r="H23" i="11"/>
  <c r="H26" i="11"/>
  <c r="H28" i="11"/>
  <c r="H25" i="11"/>
  <c r="H29" i="11"/>
  <c r="H30" i="11"/>
  <c r="H27" i="11"/>
  <c r="K18" i="2"/>
  <c r="H29" i="21"/>
  <c r="H48" i="21"/>
  <c r="H17" i="21"/>
  <c r="H25" i="21"/>
  <c r="H35" i="21"/>
  <c r="H24" i="21"/>
  <c r="H30" i="21"/>
  <c r="H34" i="21"/>
  <c r="H19" i="21"/>
  <c r="H20" i="21"/>
  <c r="H27" i="21"/>
  <c r="H33" i="21"/>
  <c r="H32" i="21"/>
  <c r="H15" i="21"/>
  <c r="H49" i="21"/>
  <c r="H21" i="21"/>
  <c r="H18" i="21"/>
  <c r="H28" i="21"/>
  <c r="H16" i="21"/>
  <c r="H36" i="21"/>
  <c r="L5" i="24"/>
  <c r="P48" i="17" s="1"/>
  <c r="H47" i="21"/>
  <c r="H26" i="21"/>
  <c r="H50" i="21"/>
  <c r="H23" i="21"/>
  <c r="H38" i="21"/>
  <c r="H22" i="21"/>
  <c r="J32" i="2"/>
  <c r="J22" i="12"/>
  <c r="J33" i="2"/>
  <c r="H37" i="21"/>
  <c r="J31" i="4"/>
  <c r="D10" i="8"/>
  <c r="H36" i="8" s="1"/>
  <c r="F9" i="18"/>
  <c r="F11" i="18" s="1"/>
  <c r="F47" i="12"/>
  <c r="I47" i="12" s="1"/>
  <c r="Q8" i="17"/>
  <c r="Q40" i="17" s="1"/>
  <c r="I49" i="5"/>
  <c r="I50" i="5" s="1"/>
  <c r="J50" i="5" s="1"/>
  <c r="F5" i="5"/>
  <c r="H24" i="12"/>
  <c r="E24" i="12" s="1"/>
  <c r="E64" i="7"/>
  <c r="G64" i="7" s="1"/>
  <c r="D10" i="5"/>
  <c r="L30" i="5" s="1"/>
  <c r="L30" i="4"/>
  <c r="Q10" i="17"/>
  <c r="Q43" i="17" s="1"/>
  <c r="F5" i="4"/>
  <c r="G53" i="8"/>
  <c r="V11" i="17" s="1"/>
  <c r="V44" i="17" s="1"/>
  <c r="F84" i="24"/>
  <c r="E84" i="24" s="1"/>
  <c r="AC35" i="15"/>
  <c r="J19" i="4"/>
  <c r="J17" i="12"/>
  <c r="F5" i="3"/>
  <c r="I54" i="3"/>
  <c r="I55" i="3" s="1"/>
  <c r="J55" i="3" s="1"/>
  <c r="H39" i="6"/>
  <c r="H24" i="9"/>
  <c r="H30" i="9"/>
  <c r="I48" i="4"/>
  <c r="L48" i="4" s="1"/>
  <c r="E64" i="11"/>
  <c r="H41" i="9"/>
  <c r="H20" i="9"/>
  <c r="H39" i="9"/>
  <c r="H38" i="9"/>
  <c r="I33" i="3"/>
  <c r="L33" i="3" s="1"/>
  <c r="H26" i="6"/>
  <c r="G19" i="7"/>
  <c r="H19" i="7" s="1"/>
  <c r="G20" i="7"/>
  <c r="H20" i="7" s="1"/>
  <c r="G21" i="7"/>
  <c r="H21" i="7" s="1"/>
  <c r="G22" i="7"/>
  <c r="H22" i="7" s="1"/>
  <c r="G23" i="7"/>
  <c r="H23" i="7" s="1"/>
  <c r="H49" i="23"/>
  <c r="H19" i="23"/>
  <c r="J18" i="12"/>
  <c r="G16" i="7"/>
  <c r="H16" i="7" s="1"/>
  <c r="G15" i="7"/>
  <c r="M33" i="12"/>
  <c r="H20" i="12"/>
  <c r="G45" i="6"/>
  <c r="H30" i="6"/>
  <c r="H23" i="6"/>
  <c r="H32" i="6"/>
  <c r="K33" i="2"/>
  <c r="H17" i="6"/>
  <c r="H25" i="6"/>
  <c r="H33" i="6"/>
  <c r="H31" i="6"/>
  <c r="H24" i="6"/>
  <c r="H15" i="6"/>
  <c r="H42" i="6"/>
  <c r="H16" i="6"/>
  <c r="G43" i="6"/>
  <c r="E43" i="6" s="1"/>
  <c r="K18" i="3"/>
  <c r="H41" i="6"/>
  <c r="H43" i="9"/>
  <c r="H40" i="9"/>
  <c r="H25" i="10"/>
  <c r="H33" i="9"/>
  <c r="H44" i="9"/>
  <c r="H36" i="9"/>
  <c r="G43" i="8"/>
  <c r="H28" i="10"/>
  <c r="H45" i="22"/>
  <c r="L15" i="12"/>
  <c r="L20" i="12" s="1"/>
  <c r="H21" i="10"/>
  <c r="H32" i="11"/>
  <c r="H25" i="22"/>
  <c r="H65" i="9"/>
  <c r="H19" i="9"/>
  <c r="H32" i="9"/>
  <c r="H33" i="11"/>
  <c r="H28" i="23"/>
  <c r="H43" i="10"/>
  <c r="H27" i="10"/>
  <c r="H31" i="10"/>
  <c r="H36" i="10"/>
  <c r="H33" i="10"/>
  <c r="H22" i="10"/>
  <c r="H26" i="10"/>
  <c r="H18" i="10"/>
  <c r="H38" i="10"/>
  <c r="H23" i="10"/>
  <c r="H30" i="10"/>
  <c r="H17" i="10"/>
  <c r="H39" i="10"/>
  <c r="H24" i="10"/>
  <c r="H37" i="10"/>
  <c r="H29" i="10"/>
  <c r="H40" i="10"/>
  <c r="H32" i="10"/>
  <c r="H35" i="10"/>
  <c r="H19" i="10"/>
  <c r="H34" i="10"/>
  <c r="H46" i="10"/>
  <c r="H31" i="11"/>
  <c r="H47" i="11"/>
  <c r="K31" i="4"/>
  <c r="G48" i="11"/>
  <c r="J30" i="4"/>
  <c r="I32" i="4"/>
  <c r="F32" i="4" s="1"/>
  <c r="J17" i="4"/>
  <c r="H44" i="11"/>
  <c r="H35" i="9"/>
  <c r="G45" i="9"/>
  <c r="H21" i="9"/>
  <c r="H37" i="9"/>
  <c r="H42" i="9"/>
  <c r="H28" i="9"/>
  <c r="H27" i="9"/>
  <c r="H34" i="9"/>
  <c r="H29" i="9"/>
  <c r="H22" i="9"/>
  <c r="H31" i="9"/>
  <c r="G79" i="9"/>
  <c r="H49" i="9"/>
  <c r="B71" i="9"/>
  <c r="H58" i="9"/>
  <c r="J31" i="5"/>
  <c r="K31" i="2"/>
  <c r="K15" i="2"/>
  <c r="K22" i="2" s="1"/>
  <c r="K33" i="3"/>
  <c r="H31" i="12"/>
  <c r="E31" i="12" s="1"/>
  <c r="J30" i="3"/>
  <c r="J23" i="5"/>
  <c r="G62" i="9"/>
  <c r="E11" i="17" s="1"/>
  <c r="E44" i="17" s="1"/>
  <c r="H57" i="9"/>
  <c r="H59" i="9"/>
  <c r="H56" i="9"/>
  <c r="H47" i="9"/>
  <c r="H15" i="9"/>
  <c r="H48" i="9"/>
  <c r="H16" i="9"/>
  <c r="J17" i="5"/>
  <c r="K10" i="18"/>
  <c r="K16" i="5"/>
  <c r="J30" i="5"/>
  <c r="J18" i="5"/>
  <c r="J24" i="5"/>
  <c r="J28" i="3"/>
  <c r="J16" i="3"/>
  <c r="J29" i="3"/>
  <c r="F21" i="17"/>
  <c r="F34" i="17" s="1"/>
  <c r="J17" i="3"/>
  <c r="K15" i="3"/>
  <c r="K22" i="3" s="1"/>
  <c r="J20" i="3"/>
  <c r="H48" i="23"/>
  <c r="H17" i="23"/>
  <c r="H41" i="23"/>
  <c r="H32" i="23"/>
  <c r="H27" i="23"/>
  <c r="H31" i="23"/>
  <c r="H25" i="23"/>
  <c r="H24" i="23"/>
  <c r="H29" i="23"/>
  <c r="H50" i="23"/>
  <c r="M5" i="24"/>
  <c r="H26" i="23"/>
  <c r="H16" i="23"/>
  <c r="G69" i="23"/>
  <c r="H15" i="23"/>
  <c r="H30" i="23"/>
  <c r="H45" i="23"/>
  <c r="H51" i="23"/>
  <c r="H40" i="23"/>
  <c r="B61" i="23"/>
  <c r="S10" i="17" s="1"/>
  <c r="S43" i="17" s="1"/>
  <c r="H18" i="23"/>
  <c r="H42" i="23"/>
  <c r="H36" i="23"/>
  <c r="G55" i="23"/>
  <c r="H55" i="23" s="1"/>
  <c r="H33" i="23"/>
  <c r="H34" i="23"/>
  <c r="K32" i="2"/>
  <c r="K16" i="2"/>
  <c r="K28" i="2"/>
  <c r="J15" i="2"/>
  <c r="K25" i="2"/>
  <c r="K20" i="2"/>
  <c r="I24" i="12"/>
  <c r="F24" i="12" s="1"/>
  <c r="K21" i="2"/>
  <c r="K36" i="2"/>
  <c r="K19" i="2"/>
  <c r="J19" i="5"/>
  <c r="G40" i="22"/>
  <c r="E40" i="22" s="1"/>
  <c r="H32" i="22"/>
  <c r="J27" i="4"/>
  <c r="K18" i="5"/>
  <c r="G77" i="22"/>
  <c r="J23" i="12"/>
  <c r="H18" i="6"/>
  <c r="J16" i="5"/>
  <c r="L22" i="12"/>
  <c r="M22" i="12" s="1"/>
  <c r="B48" i="7"/>
  <c r="B39" i="12"/>
  <c r="L19" i="12"/>
  <c r="M19" i="12" s="1"/>
  <c r="G63" i="22"/>
  <c r="H63" i="22" s="1"/>
  <c r="H22" i="22"/>
  <c r="H56" i="22"/>
  <c r="B51" i="6"/>
  <c r="B69" i="22"/>
  <c r="T41" i="17" s="1"/>
  <c r="H27" i="6"/>
  <c r="H20" i="6"/>
  <c r="H23" i="22"/>
  <c r="H18" i="22"/>
  <c r="H37" i="22"/>
  <c r="H43" i="22"/>
  <c r="L18" i="12"/>
  <c r="M18" i="12" s="1"/>
  <c r="H15" i="22"/>
  <c r="H52" i="22"/>
  <c r="H38" i="22"/>
  <c r="H19" i="22"/>
  <c r="H35" i="22"/>
  <c r="H53" i="22"/>
  <c r="H33" i="22"/>
  <c r="H44" i="22"/>
  <c r="H24" i="22"/>
  <c r="N5" i="24"/>
  <c r="U17" i="17" s="1"/>
  <c r="J33" i="12"/>
  <c r="H48" i="22"/>
  <c r="L26" i="12"/>
  <c r="M26" i="12" s="1"/>
  <c r="H34" i="22"/>
  <c r="H39" i="22"/>
  <c r="K54" i="3"/>
  <c r="K21" i="3"/>
  <c r="J16" i="2"/>
  <c r="K20" i="3"/>
  <c r="L23" i="12"/>
  <c r="M23" i="12" s="1"/>
  <c r="J29" i="4"/>
  <c r="I26" i="2"/>
  <c r="F26" i="2" s="1"/>
  <c r="K27" i="4"/>
  <c r="J20" i="4"/>
  <c r="G78" i="10"/>
  <c r="H55" i="10"/>
  <c r="H56" i="10"/>
  <c r="I34" i="2"/>
  <c r="F34" i="2" s="1"/>
  <c r="K19" i="3"/>
  <c r="I21" i="5"/>
  <c r="F21" i="5" s="1"/>
  <c r="G51" i="8"/>
  <c r="K30" i="3"/>
  <c r="J19" i="3"/>
  <c r="K15" i="5"/>
  <c r="K21" i="5" s="1"/>
  <c r="H40" i="6"/>
  <c r="J19" i="12"/>
  <c r="K23" i="5"/>
  <c r="K25" i="5" s="1"/>
  <c r="K30" i="4"/>
  <c r="J15" i="5"/>
  <c r="K20" i="5"/>
  <c r="K27" i="5"/>
  <c r="J24" i="4"/>
  <c r="P20" i="17"/>
  <c r="P35" i="17" s="1"/>
  <c r="K29" i="3"/>
  <c r="J28" i="2"/>
  <c r="K16" i="4"/>
  <c r="J27" i="5"/>
  <c r="J17" i="2"/>
  <c r="L17" i="12"/>
  <c r="M17" i="12" s="1"/>
  <c r="H17" i="11"/>
  <c r="AB18" i="4"/>
  <c r="K17" i="4"/>
  <c r="J21" i="2"/>
  <c r="Q7" i="17"/>
  <c r="E31" i="21"/>
  <c r="P7" i="17" s="1"/>
  <c r="P39" i="17" s="1"/>
  <c r="H34" i="4"/>
  <c r="K34" i="4" s="1"/>
  <c r="I22" i="2"/>
  <c r="F22" i="2" s="1"/>
  <c r="K23" i="4"/>
  <c r="K25" i="4" s="1"/>
  <c r="K30" i="5"/>
  <c r="I21" i="4"/>
  <c r="F21" i="4" s="1"/>
  <c r="K24" i="4"/>
  <c r="AB17" i="4"/>
  <c r="K17" i="2"/>
  <c r="K16" i="3"/>
  <c r="K17" i="3"/>
  <c r="G55" i="21"/>
  <c r="K20" i="4"/>
  <c r="L27" i="4"/>
  <c r="K15" i="4"/>
  <c r="K21" i="4" s="1"/>
  <c r="I22" i="3"/>
  <c r="F22" i="3" s="1"/>
  <c r="K19" i="4"/>
  <c r="K17" i="5"/>
  <c r="H22" i="6"/>
  <c r="K18" i="4"/>
  <c r="J15" i="4"/>
  <c r="K48" i="4"/>
  <c r="J31" i="2"/>
  <c r="J26" i="12"/>
  <c r="I31" i="3"/>
  <c r="J20" i="5"/>
  <c r="K26" i="3"/>
  <c r="J29" i="5"/>
  <c r="H21" i="6"/>
  <c r="L21" i="3"/>
  <c r="I36" i="2"/>
  <c r="J36" i="2" s="1"/>
  <c r="J16" i="4"/>
  <c r="B70" i="10"/>
  <c r="E79" i="10"/>
  <c r="H44" i="10"/>
  <c r="AC18" i="4"/>
  <c r="F10" i="4"/>
  <c r="H21" i="11"/>
  <c r="L23" i="4"/>
  <c r="H20" i="22"/>
  <c r="H37" i="11"/>
  <c r="H16" i="11"/>
  <c r="B56" i="11"/>
  <c r="H45" i="11"/>
  <c r="H38" i="11"/>
  <c r="H21" i="22"/>
  <c r="AC17" i="4"/>
  <c r="H22" i="11"/>
  <c r="G50" i="11"/>
  <c r="H50" i="11" s="1"/>
  <c r="H17" i="22"/>
  <c r="K5" i="24"/>
  <c r="G61" i="10"/>
  <c r="H57" i="10"/>
  <c r="H45" i="10"/>
  <c r="H15" i="10"/>
  <c r="L16" i="4"/>
  <c r="B40" i="4"/>
  <c r="L17" i="4"/>
  <c r="L19" i="4"/>
  <c r="D10" i="2"/>
  <c r="L32" i="2" s="1"/>
  <c r="H19" i="11"/>
  <c r="L29" i="4"/>
  <c r="L32" i="4" s="1"/>
  <c r="I5" i="24"/>
  <c r="H58" i="10"/>
  <c r="H20" i="11"/>
  <c r="H15" i="11"/>
  <c r="E80" i="9"/>
  <c r="H46" i="11"/>
  <c r="H36" i="22"/>
  <c r="H16" i="10"/>
  <c r="H42" i="22"/>
  <c r="H55" i="22"/>
  <c r="H51" i="22"/>
  <c r="H16" i="22"/>
  <c r="H53" i="21"/>
  <c r="P44" i="17"/>
  <c r="Q11" i="17"/>
  <c r="Q44" i="17" s="1"/>
  <c r="H35" i="11"/>
  <c r="G17" i="7"/>
  <c r="H17" i="7" s="1"/>
  <c r="E75" i="8"/>
  <c r="H53" i="9"/>
  <c r="G18" i="7"/>
  <c r="H18" i="7" s="1"/>
  <c r="J23" i="4"/>
  <c r="H19" i="6"/>
  <c r="Y8" i="24"/>
  <c r="G24" i="7"/>
  <c r="H24" i="7" s="1"/>
  <c r="L24" i="4"/>
  <c r="J15" i="3"/>
  <c r="G33" i="7"/>
  <c r="G34" i="6"/>
  <c r="I25" i="5"/>
  <c r="F25" i="5" s="1"/>
  <c r="G60" i="9"/>
  <c r="E60" i="9" s="1"/>
  <c r="L17" i="3"/>
  <c r="H41" i="11"/>
  <c r="J15" i="12"/>
  <c r="L16" i="3"/>
  <c r="I20" i="12"/>
  <c r="F20" i="12" s="1"/>
  <c r="B38" i="3"/>
  <c r="L26" i="3"/>
  <c r="L20" i="4"/>
  <c r="I34" i="4"/>
  <c r="L15" i="4"/>
  <c r="G42" i="7"/>
  <c r="H42" i="7" s="1"/>
  <c r="I25" i="4"/>
  <c r="F25" i="4" s="1"/>
  <c r="L15" i="3"/>
  <c r="L22" i="3" s="1"/>
  <c r="L29" i="3"/>
  <c r="L31" i="4"/>
  <c r="L28" i="3"/>
  <c r="L31" i="3" s="1"/>
  <c r="E38" i="23"/>
  <c r="E43" i="23"/>
  <c r="B7" i="14"/>
  <c r="I6" i="14"/>
  <c r="G51" i="9"/>
  <c r="K30" i="2"/>
  <c r="K34" i="2" s="1"/>
  <c r="H34" i="2"/>
  <c r="E34" i="2" s="1"/>
  <c r="H21" i="17"/>
  <c r="H34" i="17" s="1"/>
  <c r="L18" i="4"/>
  <c r="J18" i="4"/>
  <c r="L49" i="5"/>
  <c r="J18" i="2"/>
  <c r="C45" i="24"/>
  <c r="Q18" i="24"/>
  <c r="E13" i="17"/>
  <c r="E50" i="17" s="1"/>
  <c r="F35" i="24"/>
  <c r="D11" i="18"/>
  <c r="D21" i="17"/>
  <c r="D34" i="17" s="1"/>
  <c r="L28" i="12"/>
  <c r="I31" i="12"/>
  <c r="F31" i="12" s="1"/>
  <c r="J28" i="12"/>
  <c r="L30" i="12"/>
  <c r="M30" i="12" s="1"/>
  <c r="J30" i="12"/>
  <c r="Q32" i="17"/>
  <c r="G28" i="6"/>
  <c r="K31" i="5"/>
  <c r="K32" i="5"/>
  <c r="K29" i="5"/>
  <c r="K33" i="5" s="1"/>
  <c r="J26" i="3"/>
  <c r="L30" i="3"/>
  <c r="J25" i="2"/>
  <c r="L19" i="3"/>
  <c r="Q7" i="13"/>
  <c r="Q9" i="13" s="1"/>
  <c r="P10" i="13" s="1"/>
  <c r="D16" i="13" s="1"/>
  <c r="D17" i="13" s="1"/>
  <c r="K29" i="4"/>
  <c r="H32" i="4"/>
  <c r="E32" i="4" s="1"/>
  <c r="E25" i="4"/>
  <c r="J32" i="5"/>
  <c r="K35" i="12"/>
  <c r="Z19" i="24"/>
  <c r="AB19" i="24" s="1"/>
  <c r="AB20" i="24" s="1"/>
  <c r="Y20" i="24" s="1"/>
  <c r="D7" i="14"/>
  <c r="F6" i="14"/>
  <c r="H6" i="14" s="1"/>
  <c r="J6" i="14" s="1"/>
  <c r="K24" i="5"/>
  <c r="H26" i="2"/>
  <c r="K24" i="2"/>
  <c r="K26" i="2" s="1"/>
  <c r="H31" i="3"/>
  <c r="H35" i="3" s="1"/>
  <c r="K28" i="3"/>
  <c r="K31" i="3" s="1"/>
  <c r="H36" i="11"/>
  <c r="G9" i="17"/>
  <c r="G41" i="17" s="1"/>
  <c r="H36" i="6"/>
  <c r="H38" i="6" s="1"/>
  <c r="J16" i="12"/>
  <c r="L16" i="12"/>
  <c r="M16" i="12" s="1"/>
  <c r="L29" i="12"/>
  <c r="M29" i="12" s="1"/>
  <c r="J29" i="12"/>
  <c r="F10" i="3"/>
  <c r="L20" i="3"/>
  <c r="J21" i="3"/>
  <c r="J18" i="3"/>
  <c r="J24" i="2"/>
  <c r="G34" i="11"/>
  <c r="E34" i="11" s="1"/>
  <c r="J19" i="2"/>
  <c r="I33" i="5"/>
  <c r="F33" i="5" s="1"/>
  <c r="K19" i="5"/>
  <c r="H35" i="5"/>
  <c r="K35" i="5" s="1"/>
  <c r="L18" i="3"/>
  <c r="J20" i="2"/>
  <c r="J30" i="2"/>
  <c r="E17" i="17" l="1"/>
  <c r="E31" i="17" s="1"/>
  <c r="V48" i="17"/>
  <c r="H43" i="11"/>
  <c r="H55" i="9"/>
  <c r="H47" i="23"/>
  <c r="H53" i="23" s="1"/>
  <c r="M11" i="17"/>
  <c r="M44" i="17" s="1"/>
  <c r="M37" i="17" s="1"/>
  <c r="L11" i="17"/>
  <c r="L44" i="17" s="1"/>
  <c r="H50" i="22"/>
  <c r="J10" i="24"/>
  <c r="M13" i="17" s="1"/>
  <c r="M50" i="17" s="1"/>
  <c r="M19" i="17"/>
  <c r="M17" i="17"/>
  <c r="O17" i="17"/>
  <c r="N17" i="17" s="1"/>
  <c r="L48" i="17"/>
  <c r="K19" i="17"/>
  <c r="K17" i="17"/>
  <c r="J17" i="17" s="1"/>
  <c r="J41" i="17"/>
  <c r="I9" i="17"/>
  <c r="I41" i="17" s="1"/>
  <c r="G35" i="7"/>
  <c r="E35" i="7" s="1"/>
  <c r="P42" i="17"/>
  <c r="E48" i="11"/>
  <c r="J10" i="17" s="1"/>
  <c r="J43" i="17" s="1"/>
  <c r="L43" i="17"/>
  <c r="M6" i="17"/>
  <c r="H48" i="27"/>
  <c r="H50" i="27"/>
  <c r="G52" i="27"/>
  <c r="H34" i="27"/>
  <c r="E65" i="27"/>
  <c r="G64" i="27"/>
  <c r="H39" i="27"/>
  <c r="G17" i="17"/>
  <c r="G31" i="17" s="1"/>
  <c r="S3" i="24"/>
  <c r="H5" i="24"/>
  <c r="I17" i="17" s="1"/>
  <c r="I31" i="17" s="1"/>
  <c r="W32" i="17"/>
  <c r="V18" i="17"/>
  <c r="V32" i="17" s="1"/>
  <c r="W11" i="17"/>
  <c r="W44" i="17" s="1"/>
  <c r="E43" i="8"/>
  <c r="W8" i="17"/>
  <c r="W40" i="17" s="1"/>
  <c r="E37" i="8"/>
  <c r="V7" i="17" s="1"/>
  <c r="V39" i="17" s="1"/>
  <c r="W7" i="17"/>
  <c r="W39" i="17" s="1"/>
  <c r="E51" i="8"/>
  <c r="V10" i="17" s="1"/>
  <c r="V43" i="17" s="1"/>
  <c r="W10" i="17"/>
  <c r="W43" i="17" s="1"/>
  <c r="H46" i="8"/>
  <c r="O10" i="24"/>
  <c r="W13" i="17" s="1"/>
  <c r="W50" i="17" s="1"/>
  <c r="W17" i="17"/>
  <c r="W19" i="17"/>
  <c r="E65" i="26"/>
  <c r="G65" i="26" s="1"/>
  <c r="E65" i="11"/>
  <c r="H45" i="26"/>
  <c r="H36" i="26"/>
  <c r="H30" i="26"/>
  <c r="H54" i="26"/>
  <c r="O6" i="24" s="1"/>
  <c r="E49" i="26"/>
  <c r="H45" i="21"/>
  <c r="H53" i="10"/>
  <c r="E55" i="21"/>
  <c r="H60" i="21"/>
  <c r="L6" i="24" s="1"/>
  <c r="H41" i="10"/>
  <c r="H15" i="7"/>
  <c r="H31" i="7" s="1"/>
  <c r="G31" i="7"/>
  <c r="E31" i="7" s="1"/>
  <c r="H39" i="11"/>
  <c r="M18" i="3"/>
  <c r="M19" i="3"/>
  <c r="M30" i="3"/>
  <c r="M10" i="24"/>
  <c r="M12" i="24" s="1"/>
  <c r="S17" i="17"/>
  <c r="N10" i="24"/>
  <c r="N12" i="24" s="1"/>
  <c r="O12" i="24" s="1"/>
  <c r="H31" i="21"/>
  <c r="L10" i="24"/>
  <c r="L12" i="24" s="1"/>
  <c r="Q19" i="17"/>
  <c r="Q33" i="17" s="1"/>
  <c r="H51" i="21"/>
  <c r="F48" i="12"/>
  <c r="H39" i="21"/>
  <c r="H49" i="8"/>
  <c r="H15" i="8"/>
  <c r="H20" i="8"/>
  <c r="M17" i="4"/>
  <c r="H19" i="8"/>
  <c r="H29" i="8"/>
  <c r="H35" i="8"/>
  <c r="H40" i="8"/>
  <c r="H22" i="8"/>
  <c r="H34" i="8"/>
  <c r="H39" i="8"/>
  <c r="H25" i="8"/>
  <c r="H26" i="8"/>
  <c r="H30" i="8"/>
  <c r="H17" i="8"/>
  <c r="H18" i="8"/>
  <c r="H24" i="8"/>
  <c r="H33" i="8"/>
  <c r="H41" i="8"/>
  <c r="H38" i="8"/>
  <c r="H45" i="8"/>
  <c r="H50" i="8"/>
  <c r="B58" i="8"/>
  <c r="H32" i="8"/>
  <c r="H31" i="8"/>
  <c r="G74" i="8"/>
  <c r="H53" i="8"/>
  <c r="H23" i="8"/>
  <c r="H48" i="8"/>
  <c r="H27" i="8"/>
  <c r="H21" i="8"/>
  <c r="H16" i="8"/>
  <c r="H28" i="8"/>
  <c r="H42" i="8"/>
  <c r="G64" i="11"/>
  <c r="K9" i="18"/>
  <c r="L54" i="3"/>
  <c r="M54" i="3" s="1"/>
  <c r="L17" i="5"/>
  <c r="M17" i="5" s="1"/>
  <c r="L20" i="5"/>
  <c r="M20" i="5" s="1"/>
  <c r="M30" i="4"/>
  <c r="L24" i="5"/>
  <c r="M24" i="5" s="1"/>
  <c r="L23" i="5"/>
  <c r="L25" i="5" s="1"/>
  <c r="F10" i="5"/>
  <c r="L29" i="5"/>
  <c r="L33" i="5" s="1"/>
  <c r="M33" i="5" s="1"/>
  <c r="L16" i="5"/>
  <c r="M16" i="5" s="1"/>
  <c r="L27" i="5"/>
  <c r="M27" i="5" s="1"/>
  <c r="L18" i="5"/>
  <c r="M18" i="5" s="1"/>
  <c r="L19" i="5"/>
  <c r="M19" i="5" s="1"/>
  <c r="L32" i="5"/>
  <c r="M32" i="5" s="1"/>
  <c r="B41" i="5"/>
  <c r="K49" i="5"/>
  <c r="M49" i="5" s="1"/>
  <c r="E65" i="7"/>
  <c r="I35" i="5"/>
  <c r="L35" i="5" s="1"/>
  <c r="M35" i="5" s="1"/>
  <c r="L15" i="5"/>
  <c r="L21" i="5" s="1"/>
  <c r="L31" i="5"/>
  <c r="M31" i="5" s="1"/>
  <c r="D48" i="17"/>
  <c r="F88" i="24"/>
  <c r="G8" i="17"/>
  <c r="G40" i="17" s="1"/>
  <c r="S8" i="17"/>
  <c r="S40" i="17" s="1"/>
  <c r="S19" i="17"/>
  <c r="S33" i="17" s="1"/>
  <c r="I49" i="4"/>
  <c r="J49" i="4" s="1"/>
  <c r="T40" i="17"/>
  <c r="R7" i="17"/>
  <c r="R39" i="17" s="1"/>
  <c r="T10" i="17"/>
  <c r="T43" i="17" s="1"/>
  <c r="R48" i="17"/>
  <c r="S9" i="17"/>
  <c r="S41" i="17" s="1"/>
  <c r="G57" i="23"/>
  <c r="E72" i="23" s="1"/>
  <c r="U40" i="17"/>
  <c r="R10" i="17"/>
  <c r="R43" i="17" s="1"/>
  <c r="U10" i="17"/>
  <c r="U43" i="17" s="1"/>
  <c r="S11" i="17"/>
  <c r="S44" i="17" s="1"/>
  <c r="G11" i="17"/>
  <c r="G44" i="17" s="1"/>
  <c r="J33" i="3"/>
  <c r="H34" i="6"/>
  <c r="N8" i="17"/>
  <c r="G111" i="24"/>
  <c r="I111" i="24" s="1"/>
  <c r="G112" i="24"/>
  <c r="I112" i="24" s="1"/>
  <c r="G98" i="24"/>
  <c r="I98" i="24" s="1"/>
  <c r="H43" i="6"/>
  <c r="R9" i="17"/>
  <c r="R41" i="17" s="1"/>
  <c r="S7" i="17"/>
  <c r="U20" i="17"/>
  <c r="T20" i="17" s="1"/>
  <c r="T35" i="17" s="1"/>
  <c r="T7" i="17"/>
  <c r="T39" i="17" s="1"/>
  <c r="H35" i="12"/>
  <c r="E35" i="12" s="1"/>
  <c r="E20" i="12"/>
  <c r="H45" i="6"/>
  <c r="F11" i="17"/>
  <c r="F44" i="17" s="1"/>
  <c r="M32" i="2"/>
  <c r="AD18" i="4"/>
  <c r="M27" i="4"/>
  <c r="G40" i="7"/>
  <c r="I10" i="17" s="1"/>
  <c r="I43" i="17" s="1"/>
  <c r="T11" i="17"/>
  <c r="T44" i="17" s="1"/>
  <c r="U11" i="17"/>
  <c r="U44" i="17" s="1"/>
  <c r="U21" i="17"/>
  <c r="T21" i="17" s="1"/>
  <c r="T34" i="17" s="1"/>
  <c r="U9" i="17"/>
  <c r="U41" i="17" s="1"/>
  <c r="M15" i="12"/>
  <c r="G67" i="9"/>
  <c r="G95" i="24"/>
  <c r="I95" i="24" s="1"/>
  <c r="G96" i="24"/>
  <c r="I96" i="24" s="1"/>
  <c r="G109" i="24"/>
  <c r="I109" i="24" s="1"/>
  <c r="G100" i="24"/>
  <c r="I100" i="24" s="1"/>
  <c r="G65" i="22"/>
  <c r="E65" i="22" s="1"/>
  <c r="N13" i="24" s="1"/>
  <c r="N15" i="24" s="1"/>
  <c r="K41" i="17"/>
  <c r="O10" i="17"/>
  <c r="O43" i="17" s="1"/>
  <c r="N7" i="17"/>
  <c r="K10" i="17"/>
  <c r="K43" i="17" s="1"/>
  <c r="M31" i="4"/>
  <c r="J11" i="17"/>
  <c r="J44" i="17" s="1"/>
  <c r="K11" i="17"/>
  <c r="K44" i="17" s="1"/>
  <c r="M20" i="4"/>
  <c r="G97" i="24"/>
  <c r="I97" i="24" s="1"/>
  <c r="G18" i="17"/>
  <c r="G32" i="17" s="1"/>
  <c r="G105" i="24"/>
  <c r="I105" i="24" s="1"/>
  <c r="T12" i="24"/>
  <c r="G104" i="24"/>
  <c r="I104" i="24" s="1"/>
  <c r="G110" i="24"/>
  <c r="I110" i="24" s="1"/>
  <c r="F48" i="17"/>
  <c r="G113" i="24"/>
  <c r="I113" i="24" s="1"/>
  <c r="AC18" i="17"/>
  <c r="AD18" i="17" s="1"/>
  <c r="G103" i="24"/>
  <c r="I103" i="24" s="1"/>
  <c r="M30" i="5"/>
  <c r="G19" i="17"/>
  <c r="G33" i="17" s="1"/>
  <c r="G102" i="24"/>
  <c r="I102" i="24" s="1"/>
  <c r="R3" i="24"/>
  <c r="G94" i="24"/>
  <c r="I94" i="24" s="1"/>
  <c r="F10" i="24"/>
  <c r="G13" i="17" s="1"/>
  <c r="G50" i="17" s="1"/>
  <c r="G99" i="24"/>
  <c r="I99" i="24" s="1"/>
  <c r="E19" i="17"/>
  <c r="E33" i="17" s="1"/>
  <c r="G101" i="24"/>
  <c r="I101" i="24" s="1"/>
  <c r="G55" i="8"/>
  <c r="E55" i="8" s="1"/>
  <c r="M48" i="4"/>
  <c r="H62" i="9"/>
  <c r="D11" i="17"/>
  <c r="D44" i="17" s="1"/>
  <c r="H51" i="9"/>
  <c r="H60" i="9"/>
  <c r="H45" i="9"/>
  <c r="M26" i="3"/>
  <c r="K35" i="3"/>
  <c r="M17" i="3"/>
  <c r="M29" i="3"/>
  <c r="M21" i="3"/>
  <c r="H11" i="17"/>
  <c r="H44" i="17" s="1"/>
  <c r="H43" i="23"/>
  <c r="H38" i="23"/>
  <c r="R11" i="17"/>
  <c r="R44" i="17" s="1"/>
  <c r="R8" i="17"/>
  <c r="R40" i="17" s="1"/>
  <c r="S21" i="17"/>
  <c r="S34" i="17" s="1"/>
  <c r="S20" i="17"/>
  <c r="S35" i="17" s="1"/>
  <c r="H46" i="22"/>
  <c r="U7" i="17"/>
  <c r="M24" i="4"/>
  <c r="M18" i="4"/>
  <c r="M20" i="3"/>
  <c r="H40" i="7"/>
  <c r="G10" i="17"/>
  <c r="G43" i="17" s="1"/>
  <c r="L24" i="12"/>
  <c r="M24" i="12" s="1"/>
  <c r="H33" i="7"/>
  <c r="H35" i="7" s="1"/>
  <c r="I11" i="17"/>
  <c r="I44" i="17" s="1"/>
  <c r="H59" i="10"/>
  <c r="T48" i="17"/>
  <c r="U19" i="17"/>
  <c r="U33" i="17" s="1"/>
  <c r="Q17" i="17"/>
  <c r="Q31" i="17" s="1"/>
  <c r="N38" i="24"/>
  <c r="N39" i="24" s="1"/>
  <c r="H47" i="10"/>
  <c r="H48" i="17"/>
  <c r="K37" i="5"/>
  <c r="AD17" i="4"/>
  <c r="H48" i="11"/>
  <c r="M16" i="4"/>
  <c r="I35" i="3"/>
  <c r="I45" i="3" s="1"/>
  <c r="I46" i="3" s="1"/>
  <c r="L28" i="2"/>
  <c r="M28" i="2" s="1"/>
  <c r="M19" i="4"/>
  <c r="I38" i="2"/>
  <c r="I49" i="2" s="1"/>
  <c r="F10" i="2"/>
  <c r="L30" i="2"/>
  <c r="L34" i="2" s="1"/>
  <c r="M34" i="2" s="1"/>
  <c r="L31" i="2"/>
  <c r="M31" i="2" s="1"/>
  <c r="E10" i="17"/>
  <c r="E43" i="17" s="1"/>
  <c r="L24" i="2"/>
  <c r="L26" i="2" s="1"/>
  <c r="L15" i="2"/>
  <c r="M15" i="2" s="1"/>
  <c r="L16" i="2"/>
  <c r="M16" i="2" s="1"/>
  <c r="L20" i="2"/>
  <c r="M20" i="2" s="1"/>
  <c r="B42" i="2"/>
  <c r="I35" i="12"/>
  <c r="F35" i="12" s="1"/>
  <c r="L18" i="2"/>
  <c r="M18" i="2" s="1"/>
  <c r="M16" i="3"/>
  <c r="L17" i="2"/>
  <c r="M17" i="2" s="1"/>
  <c r="H36" i="4"/>
  <c r="E36" i="4" s="1"/>
  <c r="K38" i="2"/>
  <c r="H37" i="5"/>
  <c r="E37" i="5" s="1"/>
  <c r="L25" i="2"/>
  <c r="M25" i="2" s="1"/>
  <c r="M15" i="3"/>
  <c r="N10" i="17"/>
  <c r="N43" i="17" s="1"/>
  <c r="O20" i="17"/>
  <c r="O21" i="17"/>
  <c r="O8" i="17"/>
  <c r="O40" i="17" s="1"/>
  <c r="K10" i="24"/>
  <c r="K12" i="24" s="1"/>
  <c r="N48" i="17"/>
  <c r="O19" i="17"/>
  <c r="O33" i="17" s="1"/>
  <c r="H40" i="22"/>
  <c r="E34" i="6"/>
  <c r="I19" i="17"/>
  <c r="I33" i="17" s="1"/>
  <c r="I18" i="17"/>
  <c r="H34" i="11"/>
  <c r="T10" i="24"/>
  <c r="I10" i="24"/>
  <c r="I12" i="24" s="1"/>
  <c r="L36" i="2"/>
  <c r="M36" i="2" s="1"/>
  <c r="M23" i="4"/>
  <c r="L25" i="4"/>
  <c r="M25" i="4" s="1"/>
  <c r="AD42" i="15"/>
  <c r="L19" i="2"/>
  <c r="M19" i="2" s="1"/>
  <c r="L33" i="2"/>
  <c r="M33" i="2" s="1"/>
  <c r="H61" i="10"/>
  <c r="O11" i="17"/>
  <c r="O44" i="17" s="1"/>
  <c r="N11" i="17"/>
  <c r="N44" i="17" s="1"/>
  <c r="K11" i="24"/>
  <c r="M11" i="24"/>
  <c r="L11" i="24"/>
  <c r="L21" i="2"/>
  <c r="M21" i="2" s="1"/>
  <c r="H58" i="22"/>
  <c r="T3" i="24"/>
  <c r="J48" i="17"/>
  <c r="AF30" i="15"/>
  <c r="H28" i="6"/>
  <c r="L34" i="4"/>
  <c r="M34" i="4" s="1"/>
  <c r="J34" i="4"/>
  <c r="I36" i="4"/>
  <c r="F36" i="4" s="1"/>
  <c r="L21" i="4"/>
  <c r="M15" i="4"/>
  <c r="D19" i="13"/>
  <c r="D20" i="13" s="1"/>
  <c r="F19" i="13" s="1"/>
  <c r="F16" i="13"/>
  <c r="K8" i="17"/>
  <c r="K40" i="17" s="1"/>
  <c r="E39" i="11"/>
  <c r="J8" i="17" s="1"/>
  <c r="J40" i="17" s="1"/>
  <c r="K32" i="4"/>
  <c r="M29" i="4"/>
  <c r="M20" i="12"/>
  <c r="L31" i="12"/>
  <c r="M31" i="12" s="1"/>
  <c r="M28" i="12"/>
  <c r="K11" i="18"/>
  <c r="C63" i="24" s="1"/>
  <c r="G45" i="24"/>
  <c r="B8" i="14"/>
  <c r="I7" i="14"/>
  <c r="M28" i="3"/>
  <c r="D10" i="17"/>
  <c r="D43" i="17" s="1"/>
  <c r="L35" i="3"/>
  <c r="M33" i="3"/>
  <c r="C53" i="24"/>
  <c r="G35" i="24"/>
  <c r="E7" i="17"/>
  <c r="E45" i="9"/>
  <c r="E26" i="2"/>
  <c r="H38" i="2"/>
  <c r="D8" i="14"/>
  <c r="F7" i="14"/>
  <c r="H7" i="14" s="1"/>
  <c r="J7" i="14" s="1"/>
  <c r="P43" i="17"/>
  <c r="D13" i="17"/>
  <c r="E35" i="3"/>
  <c r="H45" i="3"/>
  <c r="N11" i="24"/>
  <c r="O11" i="24" s="1"/>
  <c r="I11" i="24"/>
  <c r="H11" i="24"/>
  <c r="J11" i="24" s="1"/>
  <c r="K7" i="17"/>
  <c r="G52" i="11"/>
  <c r="E68" i="11" s="1"/>
  <c r="J7" i="17"/>
  <c r="J39" i="17" s="1"/>
  <c r="G7" i="17"/>
  <c r="G47" i="6"/>
  <c r="E28" i="6"/>
  <c r="P32" i="17"/>
  <c r="E8" i="17"/>
  <c r="E40" i="17" s="1"/>
  <c r="E51" i="9"/>
  <c r="L37" i="17" l="1"/>
  <c r="M23" i="17"/>
  <c r="M51" i="17" s="1"/>
  <c r="M33" i="17"/>
  <c r="L19" i="17"/>
  <c r="L33" i="17" s="1"/>
  <c r="L13" i="24"/>
  <c r="P6" i="17" s="1"/>
  <c r="M12" i="17"/>
  <c r="X48" i="17"/>
  <c r="Y43" i="17"/>
  <c r="AA43" i="17" s="1"/>
  <c r="X44" i="17"/>
  <c r="Y44" i="17"/>
  <c r="AA44" i="17" s="1"/>
  <c r="P37" i="17"/>
  <c r="N45" i="24"/>
  <c r="J45" i="24"/>
  <c r="M31" i="17"/>
  <c r="L17" i="17"/>
  <c r="L31" i="17" s="1"/>
  <c r="F17" i="17"/>
  <c r="F31" i="17" s="1"/>
  <c r="H52" i="27"/>
  <c r="E52" i="27"/>
  <c r="J13" i="24" s="1"/>
  <c r="H57" i="27"/>
  <c r="J6" i="24" s="1"/>
  <c r="E68" i="27"/>
  <c r="H10" i="24"/>
  <c r="I13" i="17" s="1"/>
  <c r="I50" i="17" s="1"/>
  <c r="N31" i="17"/>
  <c r="J38" i="24"/>
  <c r="J39" i="24" s="1"/>
  <c r="W42" i="17"/>
  <c r="W37" i="17" s="1"/>
  <c r="F10" i="17"/>
  <c r="F43" i="17" s="1"/>
  <c r="V8" i="17"/>
  <c r="V40" i="17" s="1"/>
  <c r="V42" i="17" s="1"/>
  <c r="V37" i="17" s="1"/>
  <c r="W6" i="17"/>
  <c r="W12" i="17" s="1"/>
  <c r="W33" i="17"/>
  <c r="V19" i="17"/>
  <c r="V33" i="17" s="1"/>
  <c r="W31" i="17"/>
  <c r="V17" i="17"/>
  <c r="V31" i="17" s="1"/>
  <c r="E66" i="26"/>
  <c r="D65" i="26" s="1"/>
  <c r="O13" i="24"/>
  <c r="O14" i="24" s="1"/>
  <c r="H49" i="26"/>
  <c r="H57" i="23"/>
  <c r="H37" i="8"/>
  <c r="H44" i="7"/>
  <c r="P19" i="17"/>
  <c r="P33" i="17" s="1"/>
  <c r="D50" i="17"/>
  <c r="H55" i="21"/>
  <c r="I37" i="5"/>
  <c r="J37" i="5" s="1"/>
  <c r="H51" i="8"/>
  <c r="M15" i="5"/>
  <c r="H43" i="8"/>
  <c r="J35" i="5"/>
  <c r="L37" i="5"/>
  <c r="M37" i="5" s="1"/>
  <c r="M29" i="5"/>
  <c r="M23" i="5"/>
  <c r="D13" i="18"/>
  <c r="R19" i="17"/>
  <c r="R33" i="17" s="1"/>
  <c r="F87" i="24"/>
  <c r="F89" i="24"/>
  <c r="H62" i="23"/>
  <c r="M6" i="24" s="1"/>
  <c r="E57" i="23"/>
  <c r="M13" i="24" s="1"/>
  <c r="R6" i="17" s="1"/>
  <c r="T42" i="17"/>
  <c r="T37" i="17" s="1"/>
  <c r="H47" i="6"/>
  <c r="H48" i="6" s="1"/>
  <c r="R42" i="17"/>
  <c r="R37" i="17" s="1"/>
  <c r="E40" i="7"/>
  <c r="H10" i="17" s="1"/>
  <c r="H43" i="17" s="1"/>
  <c r="U35" i="17"/>
  <c r="E80" i="22"/>
  <c r="G80" i="22" s="1"/>
  <c r="H70" i="22"/>
  <c r="N6" i="24" s="1"/>
  <c r="U34" i="17"/>
  <c r="H51" i="12"/>
  <c r="H52" i="12" s="1"/>
  <c r="G38" i="24"/>
  <c r="G39" i="24" s="1"/>
  <c r="D19" i="17"/>
  <c r="D33" i="17" s="1"/>
  <c r="U6" i="17"/>
  <c r="U23" i="17" s="1"/>
  <c r="U51" i="17" s="1"/>
  <c r="F19" i="17"/>
  <c r="F33" i="17" s="1"/>
  <c r="F12" i="24"/>
  <c r="K13" i="17"/>
  <c r="K50" i="17" s="1"/>
  <c r="H52" i="4"/>
  <c r="H53" i="4" s="1"/>
  <c r="I106" i="24"/>
  <c r="F18" i="17"/>
  <c r="F32" i="17" s="1"/>
  <c r="G114" i="24"/>
  <c r="I114" i="24"/>
  <c r="D17" i="17"/>
  <c r="D31" i="17" s="1"/>
  <c r="G106" i="24"/>
  <c r="F38" i="24"/>
  <c r="E46" i="17" s="1"/>
  <c r="D46" i="17" s="1"/>
  <c r="H67" i="9"/>
  <c r="U31" i="17"/>
  <c r="H53" i="5"/>
  <c r="H54" i="5" s="1"/>
  <c r="T17" i="17"/>
  <c r="T31" i="17" s="1"/>
  <c r="K38" i="24"/>
  <c r="K39" i="24" s="1"/>
  <c r="M35" i="3"/>
  <c r="R21" i="17"/>
  <c r="R34" i="17" s="1"/>
  <c r="R20" i="17"/>
  <c r="R35" i="17" s="1"/>
  <c r="U39" i="17"/>
  <c r="U42" i="17" s="1"/>
  <c r="U37" i="17" s="1"/>
  <c r="H65" i="22"/>
  <c r="N14" i="24"/>
  <c r="T6" i="17"/>
  <c r="M30" i="2"/>
  <c r="L22" i="2"/>
  <c r="L38" i="2" s="1"/>
  <c r="M38" i="2" s="1"/>
  <c r="H8" i="17"/>
  <c r="H40" i="17" s="1"/>
  <c r="I8" i="17"/>
  <c r="I40" i="17" s="1"/>
  <c r="Y40" i="17" s="1"/>
  <c r="O31" i="17"/>
  <c r="L45" i="3"/>
  <c r="L46" i="3" s="1"/>
  <c r="H19" i="17"/>
  <c r="H33" i="17" s="1"/>
  <c r="T19" i="17"/>
  <c r="T33" i="17" s="1"/>
  <c r="L38" i="24"/>
  <c r="L39" i="24" s="1"/>
  <c r="P17" i="17"/>
  <c r="F38" i="2"/>
  <c r="M24" i="2"/>
  <c r="F35" i="3"/>
  <c r="I7" i="17"/>
  <c r="I39" i="17" s="1"/>
  <c r="J35" i="3"/>
  <c r="L40" i="12"/>
  <c r="J35" i="12"/>
  <c r="G44" i="7"/>
  <c r="E44" i="7" s="1"/>
  <c r="F51" i="12"/>
  <c r="I51" i="12" s="1"/>
  <c r="H52" i="11"/>
  <c r="J36" i="4"/>
  <c r="I52" i="4"/>
  <c r="F52" i="4" s="1"/>
  <c r="F8" i="17"/>
  <c r="F40" i="17" s="1"/>
  <c r="N19" i="17"/>
  <c r="N33" i="17" s="1"/>
  <c r="O35" i="17"/>
  <c r="N20" i="17"/>
  <c r="N35" i="17" s="1"/>
  <c r="O34" i="17"/>
  <c r="N21" i="17"/>
  <c r="N34" i="17" s="1"/>
  <c r="J42" i="17"/>
  <c r="J37" i="17" s="1"/>
  <c r="P21" i="17"/>
  <c r="K31" i="17"/>
  <c r="Y31" i="17" s="1"/>
  <c r="I38" i="24"/>
  <c r="I39" i="24" s="1"/>
  <c r="J31" i="17"/>
  <c r="K33" i="17"/>
  <c r="J19" i="17"/>
  <c r="J33" i="17" s="1"/>
  <c r="S32" i="17"/>
  <c r="R32" i="17"/>
  <c r="I32" i="17"/>
  <c r="H18" i="17"/>
  <c r="H32" i="17" s="1"/>
  <c r="S31" i="17"/>
  <c r="M38" i="24"/>
  <c r="M39" i="24" s="1"/>
  <c r="E73" i="23"/>
  <c r="G72" i="23"/>
  <c r="M21" i="4"/>
  <c r="L36" i="4"/>
  <c r="E67" i="9"/>
  <c r="F13" i="24" s="1"/>
  <c r="H72" i="9"/>
  <c r="E82" i="9"/>
  <c r="E38" i="2"/>
  <c r="K39" i="2"/>
  <c r="H49" i="2"/>
  <c r="B9" i="14"/>
  <c r="I8" i="14"/>
  <c r="H17" i="17"/>
  <c r="H31" i="17" s="1"/>
  <c r="H38" i="24"/>
  <c r="H39" i="24" s="1"/>
  <c r="G36" i="4"/>
  <c r="E52" i="11"/>
  <c r="H57" i="11"/>
  <c r="E13" i="18"/>
  <c r="E17" i="18" s="1"/>
  <c r="K6" i="17"/>
  <c r="K23" i="17" s="1"/>
  <c r="K39" i="17"/>
  <c r="K42" i="17" s="1"/>
  <c r="K37" i="17" s="1"/>
  <c r="Q6" i="17"/>
  <c r="Q23" i="17" s="1"/>
  <c r="Q39" i="17"/>
  <c r="I35" i="24"/>
  <c r="L35" i="24" s="1"/>
  <c r="N35" i="24" s="1"/>
  <c r="O35" i="24" s="1"/>
  <c r="H35" i="24"/>
  <c r="R17" i="17"/>
  <c r="R31" i="17" s="1"/>
  <c r="I45" i="24"/>
  <c r="H53" i="6"/>
  <c r="G6" i="24" s="1"/>
  <c r="E47" i="6"/>
  <c r="E58" i="6"/>
  <c r="G53" i="24"/>
  <c r="M45" i="24"/>
  <c r="L35" i="12"/>
  <c r="M35" i="12" s="1"/>
  <c r="H7" i="17"/>
  <c r="H39" i="17" s="1"/>
  <c r="F7" i="17"/>
  <c r="F39" i="17" s="1"/>
  <c r="D8" i="17"/>
  <c r="D40" i="17" s="1"/>
  <c r="N40" i="17"/>
  <c r="J38" i="2"/>
  <c r="F13" i="18"/>
  <c r="F17" i="18" s="1"/>
  <c r="G39" i="17"/>
  <c r="G42" i="17" s="1"/>
  <c r="G37" i="17" s="1"/>
  <c r="G6" i="17"/>
  <c r="I50" i="2"/>
  <c r="I49" i="3"/>
  <c r="I58" i="3" s="1"/>
  <c r="L49" i="2"/>
  <c r="D7" i="17"/>
  <c r="D39" i="17" s="1"/>
  <c r="N39" i="17"/>
  <c r="H46" i="3"/>
  <c r="J46" i="3" s="1"/>
  <c r="K45" i="3"/>
  <c r="K46" i="3" s="1"/>
  <c r="S6" i="17"/>
  <c r="S23" i="17" s="1"/>
  <c r="S39" i="17"/>
  <c r="S42" i="17" s="1"/>
  <c r="S37" i="17" s="1"/>
  <c r="D9" i="14"/>
  <c r="F8" i="14"/>
  <c r="H8" i="14" s="1"/>
  <c r="J8" i="14" s="1"/>
  <c r="E6" i="17"/>
  <c r="E39" i="17"/>
  <c r="H60" i="8"/>
  <c r="O7" i="24" s="1"/>
  <c r="E65" i="8"/>
  <c r="K36" i="4"/>
  <c r="M32" i="4"/>
  <c r="L14" i="24" l="1"/>
  <c r="L15" i="24"/>
  <c r="X39" i="17"/>
  <c r="X40" i="17"/>
  <c r="X43" i="17"/>
  <c r="AA40" i="17"/>
  <c r="Q42" i="17"/>
  <c r="Q37" i="17" s="1"/>
  <c r="N53" i="24"/>
  <c r="J53" i="24"/>
  <c r="J14" i="24"/>
  <c r="L6" i="17"/>
  <c r="E69" i="27"/>
  <c r="D68" i="27" s="1"/>
  <c r="G68" i="27"/>
  <c r="G12" i="24"/>
  <c r="J12" i="24"/>
  <c r="J15" i="24"/>
  <c r="K35" i="24"/>
  <c r="M35" i="24" s="1"/>
  <c r="J35" i="24"/>
  <c r="W23" i="17"/>
  <c r="W51" i="17" s="1"/>
  <c r="V6" i="17"/>
  <c r="V23" i="17" s="1"/>
  <c r="O15" i="24"/>
  <c r="W24" i="17" s="1"/>
  <c r="W52" i="17" s="1"/>
  <c r="P31" i="17"/>
  <c r="O38" i="24"/>
  <c r="O39" i="24" s="1"/>
  <c r="H6" i="24"/>
  <c r="F37" i="5"/>
  <c r="G37" i="5" s="1"/>
  <c r="I53" i="5"/>
  <c r="L53" i="5" s="1"/>
  <c r="H55" i="8"/>
  <c r="D72" i="23"/>
  <c r="M15" i="24"/>
  <c r="M14" i="24"/>
  <c r="E81" i="22"/>
  <c r="D80" i="22" s="1"/>
  <c r="U12" i="17"/>
  <c r="K52" i="4"/>
  <c r="K53" i="5"/>
  <c r="F39" i="24"/>
  <c r="C52" i="24" s="1"/>
  <c r="H42" i="17"/>
  <c r="H37" i="17" s="1"/>
  <c r="I42" i="17"/>
  <c r="I37" i="17" s="1"/>
  <c r="T23" i="17"/>
  <c r="E55" i="7"/>
  <c r="G55" i="7" s="1"/>
  <c r="X31" i="17"/>
  <c r="I6" i="17"/>
  <c r="I12" i="17" s="1"/>
  <c r="G38" i="2"/>
  <c r="R23" i="17"/>
  <c r="L52" i="4"/>
  <c r="F52" i="12"/>
  <c r="D51" i="12" s="1"/>
  <c r="H49" i="7"/>
  <c r="H7" i="24" s="1"/>
  <c r="I53" i="4"/>
  <c r="J53" i="4" s="1"/>
  <c r="F42" i="17"/>
  <c r="F37" i="17" s="1"/>
  <c r="P34" i="17"/>
  <c r="P23" i="17"/>
  <c r="M36" i="4"/>
  <c r="I13" i="24"/>
  <c r="J6" i="17" s="1"/>
  <c r="J23" i="17" s="1"/>
  <c r="I53" i="24"/>
  <c r="L39" i="2"/>
  <c r="E83" i="9"/>
  <c r="D82" i="9" s="1"/>
  <c r="G82" i="9"/>
  <c r="M45" i="3"/>
  <c r="F6" i="24"/>
  <c r="J43" i="5"/>
  <c r="G23" i="17"/>
  <c r="G51" i="17" s="1"/>
  <c r="G12" i="17"/>
  <c r="E12" i="17"/>
  <c r="E23" i="17"/>
  <c r="E51" i="17" s="1"/>
  <c r="F14" i="24"/>
  <c r="F15" i="24"/>
  <c r="AI12" i="15"/>
  <c r="D6" i="17"/>
  <c r="H49" i="3"/>
  <c r="H58" i="3" s="1"/>
  <c r="H50" i="2"/>
  <c r="H50" i="3" s="1"/>
  <c r="K49" i="2"/>
  <c r="M49" i="2" s="1"/>
  <c r="K13" i="18"/>
  <c r="C64" i="24" s="1"/>
  <c r="D17" i="18"/>
  <c r="G58" i="6"/>
  <c r="E69" i="8"/>
  <c r="E70" i="8" s="1"/>
  <c r="E59" i="7"/>
  <c r="E60" i="7" s="1"/>
  <c r="E59" i="6"/>
  <c r="D42" i="17"/>
  <c r="D37" i="17" s="1"/>
  <c r="M53" i="24"/>
  <c r="Q51" i="17"/>
  <c r="Q12" i="17"/>
  <c r="B10" i="14"/>
  <c r="I9" i="14"/>
  <c r="H9" i="14"/>
  <c r="J9" i="14" s="1"/>
  <c r="E42" i="17"/>
  <c r="E37" i="17" s="1"/>
  <c r="D10" i="14"/>
  <c r="F9" i="14"/>
  <c r="H13" i="24"/>
  <c r="G13" i="24"/>
  <c r="G15" i="24" s="1"/>
  <c r="E66" i="8"/>
  <c r="G65" i="8"/>
  <c r="L49" i="3"/>
  <c r="L50" i="2"/>
  <c r="L50" i="3" s="1"/>
  <c r="J45" i="2"/>
  <c r="K12" i="17"/>
  <c r="K51" i="17"/>
  <c r="I6" i="24"/>
  <c r="J42" i="4"/>
  <c r="S12" i="17"/>
  <c r="S51" i="17"/>
  <c r="F58" i="3"/>
  <c r="I59" i="3"/>
  <c r="L58" i="3"/>
  <c r="G7" i="24"/>
  <c r="J41" i="3"/>
  <c r="I50" i="3"/>
  <c r="E69" i="11"/>
  <c r="D68" i="11" s="1"/>
  <c r="G68" i="11"/>
  <c r="M24" i="17" l="1"/>
  <c r="M52" i="17" s="1"/>
  <c r="L12" i="17"/>
  <c r="L23" i="17"/>
  <c r="V12" i="17"/>
  <c r="W25" i="17"/>
  <c r="W53" i="17" s="1"/>
  <c r="V24" i="17"/>
  <c r="V25" i="17" s="1"/>
  <c r="O16" i="24" s="1"/>
  <c r="V26" i="17"/>
  <c r="G69" i="8"/>
  <c r="I54" i="5"/>
  <c r="J54" i="5" s="1"/>
  <c r="F53" i="5"/>
  <c r="C44" i="24"/>
  <c r="C59" i="24" s="1"/>
  <c r="M52" i="4"/>
  <c r="M53" i="5"/>
  <c r="E56" i="7"/>
  <c r="E69" i="7" s="1"/>
  <c r="I23" i="17"/>
  <c r="I51" i="17" s="1"/>
  <c r="J50" i="3"/>
  <c r="J50" i="2"/>
  <c r="I15" i="24"/>
  <c r="K24" i="17" s="1"/>
  <c r="K52" i="17" s="1"/>
  <c r="I14" i="24"/>
  <c r="AL12" i="15"/>
  <c r="E79" i="8"/>
  <c r="E78" i="8"/>
  <c r="D78" i="8" s="1"/>
  <c r="E68" i="7"/>
  <c r="G68" i="7" s="1"/>
  <c r="K17" i="18"/>
  <c r="C62" i="24" s="1"/>
  <c r="K25" i="18"/>
  <c r="K24" i="18"/>
  <c r="G14" i="24"/>
  <c r="AJ12" i="15"/>
  <c r="F6" i="17"/>
  <c r="F23" i="17" s="1"/>
  <c r="H14" i="24"/>
  <c r="H6" i="17"/>
  <c r="H23" i="17" s="1"/>
  <c r="H15" i="24"/>
  <c r="K49" i="3"/>
  <c r="M49" i="3" s="1"/>
  <c r="K50" i="2"/>
  <c r="K50" i="3" s="1"/>
  <c r="B11" i="14"/>
  <c r="I10" i="14"/>
  <c r="H10" i="14"/>
  <c r="J10" i="14" s="1"/>
  <c r="D12" i="17"/>
  <c r="D23" i="17"/>
  <c r="D51" i="17" s="1"/>
  <c r="F10" i="14"/>
  <c r="D11" i="14"/>
  <c r="H59" i="3"/>
  <c r="J59" i="3" s="1"/>
  <c r="K58" i="3"/>
  <c r="M58" i="3" s="1"/>
  <c r="J12" i="17"/>
  <c r="O24" i="17"/>
  <c r="E24" i="17"/>
  <c r="E52" i="17" s="1"/>
  <c r="T12" i="17"/>
  <c r="M25" i="17" l="1"/>
  <c r="M53" i="17" s="1"/>
  <c r="L24" i="17"/>
  <c r="L25" i="17" s="1"/>
  <c r="J16" i="24" s="1"/>
  <c r="U24" i="17"/>
  <c r="U52" i="17" s="1"/>
  <c r="AF11" i="15"/>
  <c r="AF26" i="15" s="1"/>
  <c r="AF46" i="15" s="1"/>
  <c r="G78" i="8"/>
  <c r="D68" i="7"/>
  <c r="O52" i="17"/>
  <c r="Q24" i="17"/>
  <c r="Q52" i="17" s="1"/>
  <c r="G24" i="17"/>
  <c r="G52" i="17" s="1"/>
  <c r="J24" i="17"/>
  <c r="J25" i="17" s="1"/>
  <c r="I16" i="24" s="1"/>
  <c r="D12" i="14"/>
  <c r="F11" i="14"/>
  <c r="H11" i="14" s="1"/>
  <c r="J11" i="14" s="1"/>
  <c r="S24" i="17"/>
  <c r="S52" i="17" s="1"/>
  <c r="I24" i="17"/>
  <c r="I52" i="17" s="1"/>
  <c r="D24" i="17"/>
  <c r="D52" i="17" s="1"/>
  <c r="B12" i="14"/>
  <c r="I11" i="14"/>
  <c r="H12" i="17"/>
  <c r="F12" i="17"/>
  <c r="C28" i="18"/>
  <c r="J25" i="18"/>
  <c r="N24" i="17"/>
  <c r="E25" i="17"/>
  <c r="E53" i="17" s="1"/>
  <c r="R12" i="17"/>
  <c r="P12" i="17"/>
  <c r="K25" i="17"/>
  <c r="K53" i="17" l="1"/>
  <c r="U25" i="17"/>
  <c r="U53" i="17" s="1"/>
  <c r="T24" i="17"/>
  <c r="T25" i="17" s="1"/>
  <c r="N16" i="24" s="1"/>
  <c r="AF45" i="15"/>
  <c r="AE45" i="15" s="1"/>
  <c r="J26" i="17"/>
  <c r="B13" i="14"/>
  <c r="I12" i="14"/>
  <c r="H12" i="14"/>
  <c r="J12" i="14" s="1"/>
  <c r="P24" i="17"/>
  <c r="P25" i="17" s="1"/>
  <c r="L16" i="24" s="1"/>
  <c r="P26" i="17" s="1"/>
  <c r="Q25" i="17"/>
  <c r="Q53" i="17" s="1"/>
  <c r="D13" i="14"/>
  <c r="F12" i="14"/>
  <c r="D25" i="17"/>
  <c r="D53" i="17" s="1"/>
  <c r="F24" i="17"/>
  <c r="F25" i="17" s="1"/>
  <c r="G16" i="24" s="1"/>
  <c r="G25" i="17"/>
  <c r="G53" i="17" s="1"/>
  <c r="H24" i="17"/>
  <c r="H25" i="17" s="1"/>
  <c r="H16" i="24" s="1"/>
  <c r="I25" i="17"/>
  <c r="I53" i="17" s="1"/>
  <c r="I17" i="24"/>
  <c r="I32" i="24" s="1"/>
  <c r="I76" i="24"/>
  <c r="I79" i="24" s="1"/>
  <c r="I18" i="24"/>
  <c r="I24" i="24" s="1"/>
  <c r="I26" i="24" s="1"/>
  <c r="R24" i="17"/>
  <c r="R25" i="17" s="1"/>
  <c r="M16" i="24" s="1"/>
  <c r="S25" i="17"/>
  <c r="S53" i="17" s="1"/>
  <c r="J18" i="24" l="1"/>
  <c r="J76" i="24"/>
  <c r="J79" i="24" s="1"/>
  <c r="J17" i="24"/>
  <c r="J32" i="24" s="1"/>
  <c r="I80" i="24"/>
  <c r="N76" i="24"/>
  <c r="N79" i="24" s="1"/>
  <c r="N80" i="24" s="1"/>
  <c r="N81" i="24" s="1"/>
  <c r="T26" i="17"/>
  <c r="N17" i="24"/>
  <c r="N32" i="24" s="1"/>
  <c r="N18" i="24"/>
  <c r="N24" i="24" s="1"/>
  <c r="N26" i="24" s="1"/>
  <c r="M76" i="24"/>
  <c r="M79" i="24" s="1"/>
  <c r="M80" i="24" s="1"/>
  <c r="M81" i="24" s="1"/>
  <c r="R26" i="17"/>
  <c r="L76" i="24"/>
  <c r="L79" i="24" s="1"/>
  <c r="L80" i="24" s="1"/>
  <c r="L81" i="24" s="1"/>
  <c r="L17" i="24"/>
  <c r="L32" i="24" s="1"/>
  <c r="L18" i="24"/>
  <c r="M17" i="24"/>
  <c r="M32" i="24" s="1"/>
  <c r="M18" i="24"/>
  <c r="M24" i="24" s="1"/>
  <c r="M26" i="24" s="1"/>
  <c r="H17" i="24"/>
  <c r="H32" i="24" s="1"/>
  <c r="H76" i="24"/>
  <c r="H79" i="24" s="1"/>
  <c r="H80" i="24" s="1"/>
  <c r="H81" i="24" s="1"/>
  <c r="H18" i="24"/>
  <c r="H26" i="17"/>
  <c r="I19" i="24"/>
  <c r="F16" i="24"/>
  <c r="Q21" i="24" s="1"/>
  <c r="R21" i="24" s="1"/>
  <c r="G18" i="24"/>
  <c r="G17" i="24"/>
  <c r="G32" i="24" s="1"/>
  <c r="G76" i="24"/>
  <c r="G79" i="24" s="1"/>
  <c r="G80" i="24" s="1"/>
  <c r="G81" i="24" s="1"/>
  <c r="F13" i="14"/>
  <c r="H13" i="14" s="1"/>
  <c r="J13" i="14" s="1"/>
  <c r="D14" i="14"/>
  <c r="F26" i="17"/>
  <c r="B14" i="14"/>
  <c r="I13" i="14"/>
  <c r="H19" i="24" l="1"/>
  <c r="H24" i="24"/>
  <c r="H26" i="24" s="1"/>
  <c r="J80" i="24"/>
  <c r="J81" i="24" s="1"/>
  <c r="J19" i="24"/>
  <c r="J24" i="24"/>
  <c r="J26" i="24" s="1"/>
  <c r="I81" i="24"/>
  <c r="N19" i="24"/>
  <c r="F20" i="24"/>
  <c r="F21" i="24" s="1"/>
  <c r="L24" i="24"/>
  <c r="L26" i="24" s="1"/>
  <c r="L19" i="24"/>
  <c r="M19" i="24"/>
  <c r="G19" i="24"/>
  <c r="G24" i="24"/>
  <c r="G26" i="24" s="1"/>
  <c r="D15" i="14"/>
  <c r="F14" i="14"/>
  <c r="B15" i="14"/>
  <c r="I14" i="14"/>
  <c r="H14" i="14"/>
  <c r="J14" i="14" s="1"/>
  <c r="F76" i="24"/>
  <c r="F79" i="24" s="1"/>
  <c r="C54" i="24"/>
  <c r="F18" i="24"/>
  <c r="F17" i="24"/>
  <c r="F32" i="24" s="1"/>
  <c r="Q17" i="24"/>
  <c r="D26" i="17"/>
  <c r="C1" i="24" s="1"/>
  <c r="B1" i="24" s="1"/>
  <c r="A1" i="24" s="1"/>
  <c r="Q20" i="24"/>
  <c r="R20" i="24" s="1"/>
  <c r="F28" i="24" l="1"/>
  <c r="F29" i="24" s="1"/>
  <c r="B16" i="14"/>
  <c r="I15" i="14"/>
  <c r="F19" i="24"/>
  <c r="F24" i="24"/>
  <c r="G54" i="24"/>
  <c r="J52" i="24" s="1"/>
  <c r="B54" i="24"/>
  <c r="B52" i="24"/>
  <c r="B53" i="24"/>
  <c r="C55" i="24"/>
  <c r="D16" i="14"/>
  <c r="F15" i="14"/>
  <c r="H15" i="14" s="1"/>
  <c r="J15" i="14" s="1"/>
  <c r="C46" i="24"/>
  <c r="E21" i="24"/>
  <c r="F80" i="24"/>
  <c r="F81" i="24" s="1"/>
  <c r="J54" i="24" l="1"/>
  <c r="J55" i="24" s="1"/>
  <c r="F26" i="24"/>
  <c r="G25" i="24"/>
  <c r="I52" i="24"/>
  <c r="N52" i="24"/>
  <c r="M52" i="24"/>
  <c r="D17" i="14"/>
  <c r="F16" i="14"/>
  <c r="H16" i="14" s="1"/>
  <c r="J16" i="14" s="1"/>
  <c r="M54" i="24"/>
  <c r="G46" i="24"/>
  <c r="B46" i="24"/>
  <c r="B44" i="24"/>
  <c r="B45" i="24"/>
  <c r="C47" i="24"/>
  <c r="C61" i="24"/>
  <c r="I54" i="24"/>
  <c r="N54" i="24"/>
  <c r="B17" i="14"/>
  <c r="I16" i="14"/>
  <c r="N46" i="24" l="1"/>
  <c r="J44" i="24"/>
  <c r="J46" i="24"/>
  <c r="N55" i="24"/>
  <c r="I46" i="24"/>
  <c r="M46" i="24"/>
  <c r="M55" i="24"/>
  <c r="P54" i="24"/>
  <c r="I55" i="24"/>
  <c r="P52" i="24"/>
  <c r="P53" i="24"/>
  <c r="M44" i="24"/>
  <c r="N44" i="24"/>
  <c r="I44" i="24"/>
  <c r="B18" i="14"/>
  <c r="I17" i="14"/>
  <c r="D18" i="14"/>
  <c r="F17" i="14"/>
  <c r="H17" i="14" s="1"/>
  <c r="J17" i="14" s="1"/>
  <c r="N47" i="24" l="1"/>
  <c r="J47" i="24"/>
  <c r="M47" i="24"/>
  <c r="P46" i="24"/>
  <c r="B19" i="14"/>
  <c r="I18" i="14"/>
  <c r="F18" i="14"/>
  <c r="H18" i="14" s="1"/>
  <c r="J18" i="14" s="1"/>
  <c r="D19" i="14"/>
  <c r="I47" i="24"/>
  <c r="P44" i="24"/>
  <c r="P45" i="24"/>
  <c r="D20" i="14" l="1"/>
  <c r="F19" i="14"/>
  <c r="B20" i="14"/>
  <c r="I19" i="14"/>
  <c r="H19" i="14"/>
  <c r="J19" i="14" s="1"/>
  <c r="B21" i="14" l="1"/>
  <c r="I20" i="14"/>
  <c r="D21" i="14"/>
  <c r="F20" i="14"/>
  <c r="H20" i="14" s="1"/>
  <c r="J20" i="14" s="1"/>
  <c r="F21" i="14" l="1"/>
  <c r="D22" i="14"/>
  <c r="B22" i="14"/>
  <c r="I21" i="14"/>
  <c r="H21" i="14"/>
  <c r="J21" i="14" s="1"/>
  <c r="B23" i="14" l="1"/>
  <c r="I22" i="14"/>
  <c r="D23" i="14"/>
  <c r="F22" i="14"/>
  <c r="H22" i="14" s="1"/>
  <c r="J22" i="14" s="1"/>
  <c r="D24" i="14" l="1"/>
  <c r="F23" i="14"/>
  <c r="B24" i="14"/>
  <c r="I23" i="14"/>
  <c r="H23" i="14"/>
  <c r="J23" i="14" s="1"/>
  <c r="B25" i="14" l="1"/>
  <c r="I24" i="14"/>
  <c r="D25" i="14"/>
  <c r="F24" i="14"/>
  <c r="H24" i="14" s="1"/>
  <c r="J24" i="14" s="1"/>
  <c r="D26" i="14" l="1"/>
  <c r="F25" i="14"/>
  <c r="B26" i="14"/>
  <c r="I25" i="14"/>
  <c r="H25" i="14"/>
  <c r="J25" i="14" s="1"/>
  <c r="B27" i="14" l="1"/>
  <c r="I26" i="14"/>
  <c r="F26" i="14"/>
  <c r="H26" i="14" s="1"/>
  <c r="J26" i="14" s="1"/>
  <c r="D27" i="14"/>
  <c r="D28" i="14" l="1"/>
  <c r="F27" i="14"/>
  <c r="B28" i="14"/>
  <c r="I27" i="14"/>
  <c r="H27" i="14"/>
  <c r="J27" i="14" s="1"/>
  <c r="B29" i="14" l="1"/>
  <c r="I28" i="14"/>
  <c r="D29" i="14"/>
  <c r="F28" i="14"/>
  <c r="H28" i="14" s="1"/>
  <c r="J28" i="14" s="1"/>
  <c r="F29" i="14" l="1"/>
  <c r="D30" i="14"/>
  <c r="B30" i="14"/>
  <c r="I29" i="14"/>
  <c r="H29" i="14"/>
  <c r="J29" i="14" s="1"/>
  <c r="D31" i="14" l="1"/>
  <c r="F30" i="14"/>
  <c r="B31" i="14"/>
  <c r="I30" i="14"/>
  <c r="H30" i="14"/>
  <c r="J30" i="14" s="1"/>
  <c r="B32" i="14" l="1"/>
  <c r="I31" i="14"/>
  <c r="D32" i="14"/>
  <c r="F31" i="14"/>
  <c r="H31" i="14" s="1"/>
  <c r="J31" i="14" s="1"/>
  <c r="D33" i="14" l="1"/>
  <c r="F33" i="14" s="1"/>
  <c r="F32" i="14"/>
  <c r="B33" i="14"/>
  <c r="I32" i="14"/>
  <c r="H32" i="14"/>
  <c r="J32" i="14" s="1"/>
  <c r="I33" i="14" l="1"/>
  <c r="H33" i="14"/>
  <c r="J33" i="14" s="1"/>
  <c r="O9" i="17"/>
  <c r="O7" i="17"/>
  <c r="O39" i="17" s="1"/>
  <c r="Y39" i="17" s="1"/>
  <c r="AA39" i="17" s="1"/>
  <c r="N41" i="17"/>
  <c r="N42" i="17" l="1"/>
  <c r="N37" i="17" s="1"/>
  <c r="X41" i="17"/>
  <c r="X42" i="17" s="1"/>
  <c r="X37" i="17" s="1"/>
  <c r="O6" i="17"/>
  <c r="O23" i="17" s="1"/>
  <c r="O51" i="17" s="1"/>
  <c r="H66" i="10"/>
  <c r="G66" i="10"/>
  <c r="O41" i="17"/>
  <c r="O42" i="17" l="1"/>
  <c r="O37" i="17" s="1"/>
  <c r="Y41" i="17"/>
  <c r="O12" i="17"/>
  <c r="O25" i="17"/>
  <c r="E81" i="10"/>
  <c r="H71" i="10"/>
  <c r="K6" i="24" s="1"/>
  <c r="E66" i="10"/>
  <c r="K13" i="24" s="1"/>
  <c r="AA41" i="17" l="1"/>
  <c r="AA42" i="17" s="1"/>
  <c r="Y42" i="17"/>
  <c r="Y37" i="17" s="1"/>
  <c r="O53" i="17"/>
  <c r="N6" i="17"/>
  <c r="K15" i="24"/>
  <c r="K14" i="24"/>
  <c r="E82" i="10"/>
  <c r="D81" i="10" s="1"/>
  <c r="G81" i="10"/>
  <c r="AB42" i="17" l="1"/>
  <c r="Z42" i="17"/>
  <c r="AA37" i="17"/>
  <c r="O17" i="24"/>
  <c r="O32" i="24" s="1"/>
  <c r="O18" i="24"/>
  <c r="O24" i="24" s="1"/>
  <c r="O26" i="24" s="1"/>
  <c r="O76" i="24"/>
  <c r="O79" i="24" s="1"/>
  <c r="N23" i="17"/>
  <c r="N12" i="17"/>
  <c r="O80" i="24" l="1"/>
  <c r="O81" i="24" s="1"/>
  <c r="AA48" i="17"/>
  <c r="AB48" i="17" s="1"/>
  <c r="AB37" i="17"/>
  <c r="Z37" i="17"/>
  <c r="O19" i="24"/>
  <c r="N25" i="17"/>
  <c r="K16" i="24" s="1"/>
  <c r="N26" i="17" l="1"/>
  <c r="L26" i="17"/>
  <c r="K18" i="24"/>
  <c r="K76" i="24"/>
  <c r="K79" i="24" s="1"/>
  <c r="P79" i="24" s="1"/>
  <c r="K17" i="24"/>
  <c r="K32" i="24" s="1"/>
  <c r="K80" i="24" l="1"/>
  <c r="K81" i="24" s="1"/>
  <c r="E87" i="24"/>
  <c r="K24" i="24"/>
  <c r="K26" i="24" s="1"/>
  <c r="K19" i="24"/>
  <c r="G87" i="24" l="1"/>
  <c r="H87" i="24" s="1"/>
  <c r="R112" i="24"/>
  <c r="P80" i="24"/>
  <c r="E88" i="24" s="1"/>
  <c r="Q83" i="24"/>
  <c r="G88" i="24" l="1"/>
  <c r="H88" i="24" s="1"/>
  <c r="Q84" i="24"/>
  <c r="P81" i="24"/>
  <c r="AF32" i="15"/>
  <c r="R111" i="24"/>
  <c r="R113" i="24" l="1"/>
  <c r="E89" i="24"/>
  <c r="G89" i="24" l="1"/>
  <c r="H89" i="24" s="1"/>
</calcChain>
</file>

<file path=xl/sharedStrings.xml><?xml version="1.0" encoding="utf-8"?>
<sst xmlns="http://schemas.openxmlformats.org/spreadsheetml/2006/main" count="3879" uniqueCount="1245">
  <si>
    <t>Precios de Insumos y Labores</t>
  </si>
  <si>
    <t>precios al:</t>
  </si>
  <si>
    <t>código</t>
  </si>
  <si>
    <t>Producto / Labor</t>
  </si>
  <si>
    <t>Moneda</t>
  </si>
  <si>
    <t>Costo</t>
  </si>
  <si>
    <t>2-1634</t>
  </si>
  <si>
    <t>dólares</t>
  </si>
  <si>
    <t>Aceite Agrícola</t>
  </si>
  <si>
    <t>2-1540</t>
  </si>
  <si>
    <t>Urea</t>
  </si>
  <si>
    <t>2-1522</t>
  </si>
  <si>
    <t>2-1849</t>
  </si>
  <si>
    <t>2-1507</t>
  </si>
  <si>
    <t>2-1626</t>
  </si>
  <si>
    <t>2-1620</t>
  </si>
  <si>
    <t>2-1900</t>
  </si>
  <si>
    <t>2-1688</t>
  </si>
  <si>
    <t>2-1915</t>
  </si>
  <si>
    <t>Curasemilla Tenacius (trigo)</t>
  </si>
  <si>
    <t>2-1857</t>
  </si>
  <si>
    <t>2-1861</t>
  </si>
  <si>
    <t>2-2209</t>
  </si>
  <si>
    <t>2-1557</t>
  </si>
  <si>
    <t>2-1979</t>
  </si>
  <si>
    <t>2-1884</t>
  </si>
  <si>
    <t>2-1528</t>
  </si>
  <si>
    <t>2-1503</t>
  </si>
  <si>
    <t>2-1845</t>
  </si>
  <si>
    <t>2-1502</t>
  </si>
  <si>
    <t>2-1505</t>
  </si>
  <si>
    <t>2-1684</t>
  </si>
  <si>
    <t>2-2330</t>
  </si>
  <si>
    <t>2-1745</t>
  </si>
  <si>
    <t>2-1638</t>
  </si>
  <si>
    <t>Metsulfurón Metil</t>
  </si>
  <si>
    <t>Semilla Trigo</t>
  </si>
  <si>
    <t>Semilla Soja</t>
  </si>
  <si>
    <t>Semilla Maíz</t>
  </si>
  <si>
    <t>Semilla Girasol</t>
  </si>
  <si>
    <t>Semilla Mani</t>
  </si>
  <si>
    <t>Semilla Vicia Villosa</t>
  </si>
  <si>
    <t>Semilla Centeno</t>
  </si>
  <si>
    <t>Semilla Avena</t>
  </si>
  <si>
    <t>Fertlización Incorporada</t>
  </si>
  <si>
    <t>pesos</t>
  </si>
  <si>
    <t>Fertilización al Voleo</t>
  </si>
  <si>
    <t>Pulverización Aérea</t>
  </si>
  <si>
    <t>Pulverización Terrestre</t>
  </si>
  <si>
    <t>Arrancado Mani</t>
  </si>
  <si>
    <t>Labor Paratil c/rolo</t>
  </si>
  <si>
    <t>dolares</t>
  </si>
  <si>
    <t>Labor Rastra disco</t>
  </si>
  <si>
    <t>Siembra Trigo (c/ fertilizac. simple)</t>
  </si>
  <si>
    <t>Siembra Maíz (c/ fertilizac. doble)</t>
  </si>
  <si>
    <t>Siembra Soja (c/ fertilizac. simple)</t>
  </si>
  <si>
    <t>Siembra Soja 2º (sin fertilización)</t>
  </si>
  <si>
    <t>Siembra Girasol</t>
  </si>
  <si>
    <t>Siembra Mani</t>
  </si>
  <si>
    <t>Siembra Cultivos de Servicio</t>
  </si>
  <si>
    <t>Siembra Aerea de Cultivos de Servicios</t>
  </si>
  <si>
    <t xml:space="preserve"> * Los precios se actualizan regularmente, por lo que pueden existir </t>
  </si>
  <si>
    <t>diferencias temporales entre los detallados y la lista de precios a a la fecha.-</t>
  </si>
  <si>
    <t>TRIGO - Margen Bruto comparativo</t>
  </si>
  <si>
    <t>Precio Bruto</t>
  </si>
  <si>
    <t>$/qq.</t>
  </si>
  <si>
    <t>T.C. actual :</t>
  </si>
  <si>
    <t>$ = 1 U$S</t>
  </si>
  <si>
    <t>GASTOS DE COMERCIALIZACIÓN</t>
  </si>
  <si>
    <t>T.C. año anterior :</t>
  </si>
  <si>
    <t>Flete Largo</t>
  </si>
  <si>
    <t>Comisión</t>
  </si>
  <si>
    <t>%</t>
  </si>
  <si>
    <t>Precio Neto</t>
  </si>
  <si>
    <t>GASTOS DE IMPLANTACIÓN Y PROTECCIÓN</t>
  </si>
  <si>
    <t xml:space="preserve">Precio </t>
  </si>
  <si>
    <t>Gto ($xha)</t>
  </si>
  <si>
    <t>qq./ha.</t>
  </si>
  <si>
    <t>Labor / Insumo</t>
  </si>
  <si>
    <t>Dosis/Nº</t>
  </si>
  <si>
    <t>06-07</t>
  </si>
  <si>
    <t>07-08</t>
  </si>
  <si>
    <t>Unidad</t>
  </si>
  <si>
    <t>08-09</t>
  </si>
  <si>
    <t>Adherente x-trim</t>
  </si>
  <si>
    <t>lts./ha.</t>
  </si>
  <si>
    <t>U$S/lt.</t>
  </si>
  <si>
    <t>Glifosato</t>
  </si>
  <si>
    <t>grs./ha.</t>
  </si>
  <si>
    <t>U$S/kg.</t>
  </si>
  <si>
    <t>Banvel</t>
  </si>
  <si>
    <t>cc./ha.</t>
  </si>
  <si>
    <t>Fungicida Nativo</t>
  </si>
  <si>
    <t>Curasemillas Escudo</t>
  </si>
  <si>
    <t>Sub-Total AGROQ.</t>
  </si>
  <si>
    <t>U$S/ha.</t>
  </si>
  <si>
    <t>$/ha.</t>
  </si>
  <si>
    <t>MAP-S</t>
  </si>
  <si>
    <t>kg./ha.</t>
  </si>
  <si>
    <t>U$S/ton.</t>
  </si>
  <si>
    <t>Sub-Total FERTILIZ.</t>
  </si>
  <si>
    <t>Semilla</t>
  </si>
  <si>
    <t>Siembra c/Fertilización Simple</t>
  </si>
  <si>
    <t>siembra</t>
  </si>
  <si>
    <t>aplicación</t>
  </si>
  <si>
    <t>Sub-Total LABORES</t>
  </si>
  <si>
    <t>Seguro Contra Riesgo Climático</t>
  </si>
  <si>
    <t>qq./ha</t>
  </si>
  <si>
    <t>Total G. I. y P.</t>
  </si>
  <si>
    <t>COSECHA</t>
  </si>
  <si>
    <t>RINDE ESPERADO :</t>
  </si>
  <si>
    <t>GASTOS DE ACONDICIONAMIENTO</t>
  </si>
  <si>
    <t>RINDE EQUILIBRIO 08-09 :</t>
  </si>
  <si>
    <t>Flete Corto</t>
  </si>
  <si>
    <t>RINDE EQUILIBRIO 09-10 :</t>
  </si>
  <si>
    <t>Paritaria</t>
  </si>
  <si>
    <t>GANANCIA   ( rentabilidad )</t>
  </si>
  <si>
    <t>$ /ha.</t>
  </si>
  <si>
    <t xml:space="preserve">en dólares : </t>
  </si>
  <si>
    <t>SOJA 2° - Margen Bruto comparativo</t>
  </si>
  <si>
    <t>MÁRGENES BRUTOS CON DIFERENTES NIVELES DE RENDIMIENTO</t>
  </si>
  <si>
    <t>Rendimiento</t>
  </si>
  <si>
    <t>Cosecha</t>
  </si>
  <si>
    <t>Secada</t>
  </si>
  <si>
    <t>Total G. A.</t>
  </si>
  <si>
    <t>Glifosato 48%</t>
  </si>
  <si>
    <t>Insecticida Cianex</t>
  </si>
  <si>
    <t>Insecticida Karate Zeon</t>
  </si>
  <si>
    <t>kgs./ha.</t>
  </si>
  <si>
    <t>Fungicida Sphere Max</t>
  </si>
  <si>
    <t>G. C. y D.</t>
  </si>
  <si>
    <t>Rizo Pack</t>
  </si>
  <si>
    <t>dosis/ha.</t>
  </si>
  <si>
    <t>U$S/pack</t>
  </si>
  <si>
    <t>aplicaciones</t>
  </si>
  <si>
    <t>Alquiler</t>
  </si>
  <si>
    <t>Siembra</t>
  </si>
  <si>
    <t>Total G.C.</t>
  </si>
  <si>
    <t>Total Gastos</t>
  </si>
  <si>
    <t>MÁRGENES BRUTOS CON DIFERENTES NIVELES DE PRECIO</t>
  </si>
  <si>
    <t>GANANCIA   ( Soja 2º sin alquiler )</t>
  </si>
  <si>
    <t>retorno en QQ.</t>
  </si>
  <si>
    <t>GANANCIA   ( Trigo sin alquiler)</t>
  </si>
  <si>
    <t>ALQUILER</t>
  </si>
  <si>
    <t>qq.x/ha.</t>
  </si>
  <si>
    <t>en qq. Soja</t>
  </si>
  <si>
    <t>GANANCIA   ( rentabilidad Trigo-Soja) :</t>
  </si>
  <si>
    <t>MAIZ - Margen Bruto comparativo</t>
  </si>
  <si>
    <t>GASTOS de IMPLANTACIÓN y PROTECCIÓN</t>
  </si>
  <si>
    <t>Pcio u$s</t>
  </si>
  <si>
    <t>Dosis / Nº</t>
  </si>
  <si>
    <t>Agroq. Adherente</t>
  </si>
  <si>
    <t>u$s</t>
  </si>
  <si>
    <t>Agroq. Herbicida Glifosato</t>
  </si>
  <si>
    <t>Cipermetrina 25%</t>
  </si>
  <si>
    <t>Agroq. Herbicida Metsulfurón Metil</t>
  </si>
  <si>
    <t>Curasemilla Semevin</t>
  </si>
  <si>
    <t>gr./ha.</t>
  </si>
  <si>
    <t>Agroq. Herbicida Atrazina</t>
  </si>
  <si>
    <t>Curasemillas Vitavax</t>
  </si>
  <si>
    <t>Agroq. Herbicida Dual Gold</t>
  </si>
  <si>
    <t>Agroq. Herbicida Karate Zeón</t>
  </si>
  <si>
    <t>Sub-Total AGROQUIMICOS</t>
  </si>
  <si>
    <t>Sub-Total FERTILIZANTES</t>
  </si>
  <si>
    <t>Semilla (Híbrido Simple)</t>
  </si>
  <si>
    <t>bolsa/ha.</t>
  </si>
  <si>
    <t>u$s/ha.</t>
  </si>
  <si>
    <t>Aplicación</t>
  </si>
  <si>
    <t>GASTOS de COSECHA</t>
  </si>
  <si>
    <t>RINDE EQUILIBRIO 07-08 :</t>
  </si>
  <si>
    <t>GASTOS de ACONDICIONAMIENTO</t>
  </si>
  <si>
    <t>en qq. Maíz</t>
  </si>
  <si>
    <t>GANANCIA   ( rentabilidad ) :</t>
  </si>
  <si>
    <t>SOJA 1° - Margen Bruto comparativo</t>
  </si>
  <si>
    <t>Agroq. Adherente x-Trim</t>
  </si>
  <si>
    <t>Agroq. Fungicida Amistar</t>
  </si>
  <si>
    <t>Agroq. Insecticida Cianex</t>
  </si>
  <si>
    <t>Agroq. Insecticida Curasemillas + Inoculante</t>
  </si>
  <si>
    <t>Fertilizante SPS</t>
  </si>
  <si>
    <t>Fertilizante Sulfato de Calcio</t>
  </si>
  <si>
    <t>Semilla (85 kgs. Ha.)</t>
  </si>
  <si>
    <t>bls./ha.</t>
  </si>
  <si>
    <t>Siembra c/ fertilización simple</t>
  </si>
  <si>
    <t>aplic.</t>
  </si>
  <si>
    <t>Aplicación Aérea</t>
  </si>
  <si>
    <t>TRIGO - Margen Bruto</t>
  </si>
  <si>
    <t>T.C. :</t>
  </si>
  <si>
    <t>$ = U$S</t>
  </si>
  <si>
    <t>Actual</t>
  </si>
  <si>
    <t>U$S/bls.</t>
  </si>
  <si>
    <t>RINDE esperado :</t>
  </si>
  <si>
    <t>GANANCIA   ( rentabilidad s/ alquiler)</t>
  </si>
  <si>
    <t>MAIZ 2º - Margen Bruto</t>
  </si>
  <si>
    <t>u$s/bls.</t>
  </si>
  <si>
    <t>Siembra c/Fertilización Doble</t>
  </si>
  <si>
    <t>GANANCIA   ( Maíz 2º sin alquiler )</t>
  </si>
  <si>
    <t>GANANCIA (rentabilidad Trigo-Maíz) :</t>
  </si>
  <si>
    <t>SOJA 2° - Margen Bruto</t>
  </si>
  <si>
    <t>GANANCIA (rentabilidad Trigo-Soja) :</t>
  </si>
  <si>
    <t>SOJA 1° - Margen Bruto</t>
  </si>
  <si>
    <t xml:space="preserve"> Intereses Financiación</t>
  </si>
  <si>
    <t>Equilibrio 20-21 :</t>
  </si>
  <si>
    <t>SOJA sobre CS - Margen Bruto</t>
  </si>
  <si>
    <t>Kg./ha.</t>
  </si>
  <si>
    <t>MAIZ - Margen Bruto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</si>
  <si>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</si>
  <si>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</si>
  <si>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</si>
  <si>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</si>
  <si>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</si>
  <si>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</si>
  <si>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</si>
  <si>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</si>
  <si>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enero</t>
  </si>
  <si>
    <t>febrero</t>
  </si>
  <si>
    <t>marzo</t>
  </si>
  <si>
    <t>abril</t>
  </si>
  <si>
    <t>EQUILIBRIO 09-10 :</t>
  </si>
  <si>
    <t>Ejemplo costo alquiler "real":</t>
  </si>
  <si>
    <t>Se alquilan</t>
  </si>
  <si>
    <t>has.</t>
  </si>
  <si>
    <t>Pcio Soja Disponible ($) :</t>
  </si>
  <si>
    <t>Precio del alquiler x ha.:</t>
  </si>
  <si>
    <t>qq.</t>
  </si>
  <si>
    <t>x</t>
  </si>
  <si>
    <t>Llenos</t>
  </si>
  <si>
    <t>con descuentos</t>
  </si>
  <si>
    <t>recibo</t>
  </si>
  <si>
    <t>sin recibo</t>
  </si>
  <si>
    <t>Comisión :</t>
  </si>
  <si>
    <t>Comisión * :</t>
  </si>
  <si>
    <t>Flete a puerto (x qq.) :</t>
  </si>
  <si>
    <t>Incremento Alquiler :</t>
  </si>
  <si>
    <t>(incremento)</t>
  </si>
  <si>
    <t>Precio lleno</t>
  </si>
  <si>
    <t>Alquiler REAL :</t>
  </si>
  <si>
    <t>Interés Anual :</t>
  </si>
  <si>
    <t>Interés</t>
  </si>
  <si>
    <t>Precio Soja Futuro (u$s) :</t>
  </si>
  <si>
    <t>tipo de cambio :</t>
  </si>
  <si>
    <t>Spread de Precios</t>
  </si>
  <si>
    <t>precio efectivo:</t>
  </si>
  <si>
    <t>Alquiler "pactado" :</t>
  </si>
  <si>
    <t>qq. por hectárea</t>
  </si>
  <si>
    <t>Alquiler REAL final :</t>
  </si>
  <si>
    <t>incremento :</t>
  </si>
  <si>
    <t xml:space="preserve"> * el incremento final del alquiler es superior a la suma de los 3 porcentajes de incrementos individuales</t>
  </si>
  <si>
    <t xml:space="preserve"> porque se vende al precio futuro (inferior) para pagar la comisión sobre el precio lleno disponible</t>
  </si>
  <si>
    <t>variable</t>
  </si>
  <si>
    <t>punto</t>
  </si>
  <si>
    <t>Ingreso</t>
  </si>
  <si>
    <t>Rinde</t>
  </si>
  <si>
    <t>Fijo</t>
  </si>
  <si>
    <t>Producc.</t>
  </si>
  <si>
    <t>p/ dueño</t>
  </si>
  <si>
    <t>indifer.</t>
  </si>
  <si>
    <t>Dueño</t>
  </si>
  <si>
    <t>Dueño*</t>
  </si>
  <si>
    <t>Productor</t>
  </si>
  <si>
    <t>Productor*</t>
  </si>
  <si>
    <t>PLANILLA de SOLICITUD de FINANCIACION</t>
  </si>
  <si>
    <t>PLANILLA ANALISIS CREDITICIO</t>
  </si>
  <si>
    <t>Fecha:</t>
  </si>
  <si>
    <t>Quien suscribe</t>
  </si>
  <si>
    <t>Titular de la Cta. Cte. Nº</t>
  </si>
  <si>
    <t xml:space="preserve">solicita a la Coop. Agrop. UNION de Justiniano Posse Ltda. la siguiente asistencia </t>
  </si>
  <si>
    <t>financiera :</t>
  </si>
  <si>
    <t>Segmento (Plan de Marketing)</t>
  </si>
  <si>
    <t>A</t>
  </si>
  <si>
    <t>1-</t>
  </si>
  <si>
    <t>La financiación de los Insumos para el plan de siembra abajo detallado:</t>
  </si>
  <si>
    <t>Sí (casi la totalidad)</t>
  </si>
  <si>
    <t>Costos Implantación (en u$s)</t>
  </si>
  <si>
    <t>No</t>
  </si>
  <si>
    <t>Financiación Insumos :</t>
  </si>
  <si>
    <t>Soja 1º</t>
  </si>
  <si>
    <t>Trigo</t>
  </si>
  <si>
    <t>Soja 2º</t>
  </si>
  <si>
    <t>Maíz</t>
  </si>
  <si>
    <t>Parcialmente, un</t>
  </si>
  <si>
    <t>Tipo Cambio:</t>
  </si>
  <si>
    <t>2 -</t>
  </si>
  <si>
    <t xml:space="preserve">El valor de </t>
  </si>
  <si>
    <t>qq. de Soja para el pago de Alquileres</t>
  </si>
  <si>
    <t>Financiación Alquileres :</t>
  </si>
  <si>
    <t>3 -</t>
  </si>
  <si>
    <t>Necesito financiar parte de mis gastos particulares, por un monto de:</t>
  </si>
  <si>
    <t>$</t>
  </si>
  <si>
    <t>mensuales; o la suma de</t>
  </si>
  <si>
    <t>pesos para todo el ciclo</t>
  </si>
  <si>
    <t>Gastos Particulares :</t>
  </si>
  <si>
    <t>4 -</t>
  </si>
  <si>
    <t xml:space="preserve">La cantidad de </t>
  </si>
  <si>
    <t>litros de gasoil para la actividad de</t>
  </si>
  <si>
    <t>Pcio Gasoil</t>
  </si>
  <si>
    <t>Financiación Gasoil :</t>
  </si>
  <si>
    <t>5-</t>
  </si>
  <si>
    <t>Y el importe de $</t>
  </si>
  <si>
    <t xml:space="preserve">o el valor de </t>
  </si>
  <si>
    <t>qq. de Soja</t>
  </si>
  <si>
    <t>Otra Financiación :</t>
  </si>
  <si>
    <t>cuyo destino será:</t>
  </si>
  <si>
    <t>Vctos. Bancarios :</t>
  </si>
  <si>
    <t>*</t>
  </si>
  <si>
    <t>Mi plan de siembra para la próxima campaña (20.…...-……..) es el siguiente:</t>
  </si>
  <si>
    <t xml:space="preserve">TOTAL FINANCIACION SOLICITADA : </t>
  </si>
  <si>
    <t>Has.</t>
  </si>
  <si>
    <t>Utilización</t>
  </si>
  <si>
    <t>Siembra de SOJA de 1º</t>
  </si>
  <si>
    <t>De ese total de hectáreas:</t>
  </si>
  <si>
    <t xml:space="preserve">TOTAL DEUDA EN COOP. A LA FECHA : </t>
  </si>
  <si>
    <t>Siembra de MAIZ</t>
  </si>
  <si>
    <t>has. son propias</t>
  </si>
  <si>
    <t>Siembra de TRIGO</t>
  </si>
  <si>
    <t>has. son alquiladas</t>
  </si>
  <si>
    <t xml:space="preserve">TOTAL PRODUCCION 15-16 (neta de trilla) : </t>
  </si>
  <si>
    <t>Siembra de SOJA de 2º</t>
  </si>
  <si>
    <t>Otra actividad:</t>
  </si>
  <si>
    <t>Valor promedio de los alquileres pagados:</t>
  </si>
  <si>
    <t xml:space="preserve">TOTAL GANANCIA PROYECTADA : </t>
  </si>
  <si>
    <t>Total Hectáreas</t>
  </si>
  <si>
    <t>qq. x hectárea</t>
  </si>
  <si>
    <t>pcio lleno</t>
  </si>
  <si>
    <t>pcio c/ dctos.</t>
  </si>
  <si>
    <t>dif. has.:</t>
  </si>
  <si>
    <t>Las garantías que ofrezco son las siguientes:</t>
  </si>
  <si>
    <t>Total Entrega</t>
  </si>
  <si>
    <t>Has. Semb.</t>
  </si>
  <si>
    <t>Año Anterior</t>
  </si>
  <si>
    <t>Año Anter.</t>
  </si>
  <si>
    <t>Entregado</t>
  </si>
  <si>
    <t>Mis deudas financieras, con vencimiento antes del 30 de abril siguiente son:</t>
  </si>
  <si>
    <t>Monto</t>
  </si>
  <si>
    <t>Banco / Institución</t>
  </si>
  <si>
    <t>Fecha</t>
  </si>
  <si>
    <t>Soja</t>
  </si>
  <si>
    <t>Firma:</t>
  </si>
  <si>
    <t>Solicitado + Adeudado / Producción:</t>
  </si>
  <si>
    <t>Aclaración:</t>
  </si>
  <si>
    <t>Opinión Coordinador :</t>
  </si>
  <si>
    <t>Cálculo Inversión en Insumos y labores para producir</t>
  </si>
  <si>
    <t>INVERSION x HA.</t>
  </si>
  <si>
    <t>Trigo-Soja</t>
  </si>
  <si>
    <t>Trigo-Maíz</t>
  </si>
  <si>
    <t>SOJAsobreCS</t>
  </si>
  <si>
    <t>MAIZsobreCS</t>
  </si>
  <si>
    <t>Girasol</t>
  </si>
  <si>
    <t>Mani</t>
  </si>
  <si>
    <t>Total x Ha.:</t>
  </si>
  <si>
    <t>Agroquímicos</t>
  </si>
  <si>
    <t>Fertilizantes</t>
  </si>
  <si>
    <t>Semillas</t>
  </si>
  <si>
    <t>Labores</t>
  </si>
  <si>
    <t>Seguro</t>
  </si>
  <si>
    <t>ALQUILER x HA.</t>
  </si>
  <si>
    <t>qq. Soja</t>
  </si>
  <si>
    <t>qq. Trigo</t>
  </si>
  <si>
    <t>qq. Maíz</t>
  </si>
  <si>
    <t>INGRESOS x HA.</t>
  </si>
  <si>
    <t>Ingreso Bruto</t>
  </si>
  <si>
    <t>Trilla</t>
  </si>
  <si>
    <t>Paritaria y Flete Corto</t>
  </si>
  <si>
    <t>Flete Puerto</t>
  </si>
  <si>
    <t>Ganancia Bruta</t>
  </si>
  <si>
    <t>intereses financiación:</t>
  </si>
  <si>
    <t>GANANCIA FINAL</t>
  </si>
  <si>
    <t>Has x Cultivo</t>
  </si>
  <si>
    <t>INGRESOS TOTALES</t>
  </si>
  <si>
    <t>Facturación Bruta:</t>
  </si>
  <si>
    <t>INVERSION TOTAL</t>
  </si>
  <si>
    <t>Gasto x Rubro:</t>
  </si>
  <si>
    <t>IVA</t>
  </si>
  <si>
    <t>FINAL</t>
  </si>
  <si>
    <t>TOTAL Insumos :</t>
  </si>
  <si>
    <t>ALQUILER TOTAL</t>
  </si>
  <si>
    <t>qq</t>
  </si>
  <si>
    <t>GANANCIA NETA</t>
  </si>
  <si>
    <t>hectáreas</t>
  </si>
  <si>
    <t>Trigo/So2º</t>
  </si>
  <si>
    <t>Rinde (qq. por ha.)</t>
  </si>
  <si>
    <t>Producción (qq.)</t>
  </si>
  <si>
    <t>Precios</t>
  </si>
  <si>
    <t>Acopio (en TT.)</t>
  </si>
  <si>
    <t>Soja Vs. Todo</t>
  </si>
  <si>
    <t>Importe Comisión</t>
  </si>
  <si>
    <t>Insumos (Mg Bto)</t>
  </si>
  <si>
    <t>Seguro Granizo</t>
  </si>
  <si>
    <t>Aporte a los excedentes:</t>
  </si>
  <si>
    <t>TT. x Ha.</t>
  </si>
  <si>
    <t>Rotación actual proyectada :</t>
  </si>
  <si>
    <t>TT. x Ha. s/ rotación proyectada</t>
  </si>
  <si>
    <t>Rotación "Inducida" :</t>
  </si>
  <si>
    <t>TT. x Ha. s/ rotación "inducida"</t>
  </si>
  <si>
    <t xml:space="preserve">en </t>
  </si>
  <si>
    <t>has. Acopiadas…</t>
  </si>
  <si>
    <t>Mayor UTILIDAD</t>
  </si>
  <si>
    <t>TT. de Acopio "inducidas"</t>
  </si>
  <si>
    <t>TRIGO</t>
  </si>
  <si>
    <t>u$s x Ha.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</si>
  <si>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</si>
  <si>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</si>
  <si>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</si>
  <si>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</si>
  <si>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</si>
  <si>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</si>
  <si>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</si>
  <si>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</si>
  <si>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</si>
  <si>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Feb</t>
  </si>
  <si>
    <t>Mar</t>
  </si>
  <si>
    <t>Abr</t>
  </si>
  <si>
    <t>Coadyudante</t>
  </si>
  <si>
    <t>Herbicidas</t>
  </si>
  <si>
    <t>Insecticidas</t>
  </si>
  <si>
    <t>MAIZ</t>
  </si>
  <si>
    <t>MAIZ 2º</t>
  </si>
  <si>
    <t>SOJA 1º</t>
  </si>
  <si>
    <t>SOJA 2º</t>
  </si>
  <si>
    <t>GRUPO</t>
  </si>
  <si>
    <t>LISTA</t>
  </si>
  <si>
    <t>CODIGO</t>
  </si>
  <si>
    <t>ARTICULO</t>
  </si>
  <si>
    <t>PRECIO</t>
  </si>
  <si>
    <t>I.INT</t>
  </si>
  <si>
    <t>TOTAL</t>
  </si>
  <si>
    <t>0105</t>
  </si>
  <si>
    <t>INSUMOS CONTADO</t>
  </si>
  <si>
    <t>2-1627</t>
  </si>
  <si>
    <t>2.4.D DEDALO X LTS</t>
  </si>
  <si>
    <t>0108</t>
  </si>
  <si>
    <t>2-1850</t>
  </si>
  <si>
    <t>HAS.FERTILIZACION VOLEO</t>
  </si>
  <si>
    <t>2-1683</t>
  </si>
  <si>
    <t>HAS.SERVICIO FERTIL.INCORPORADORA</t>
  </si>
  <si>
    <t>201</t>
  </si>
  <si>
    <t>2-2338</t>
  </si>
  <si>
    <t>2.4.D ESTERCIDE LV X LTS</t>
  </si>
  <si>
    <t>2-1769</t>
  </si>
  <si>
    <t>2.4.D NO VOLATIL (80%)</t>
  </si>
  <si>
    <t>2.4.D.100% ESTER X 10 LTS.</t>
  </si>
  <si>
    <t>2-1508</t>
  </si>
  <si>
    <t>ACETOCLOR X 20 LTS.</t>
  </si>
  <si>
    <t>2-1754</t>
  </si>
  <si>
    <t>APORTE FOLIAR x 20 LTS.</t>
  </si>
  <si>
    <t>2-1610</t>
  </si>
  <si>
    <t>ARSENAL X 1 LTS.</t>
  </si>
  <si>
    <t>ATRAZINA GESAPRIN X KG.</t>
  </si>
  <si>
    <t>2-1887</t>
  </si>
  <si>
    <t>ATRAZINA SOLIDA ACA WG</t>
  </si>
  <si>
    <t>ATRAZINA TRAC 50 X 20 LTS.</t>
  </si>
  <si>
    <t>BANVEL X 5 LTS. (DICAMBA)</t>
  </si>
  <si>
    <t>2-1639</t>
  </si>
  <si>
    <t>BRODAL X 1 LTS.</t>
  </si>
  <si>
    <t>2-1652</t>
  </si>
  <si>
    <t>CERILLO x 5 LTS.</t>
  </si>
  <si>
    <t>CLEANDIN CLETODIM ACA x 5 LTS.</t>
  </si>
  <si>
    <t>2-1661</t>
  </si>
  <si>
    <t>CLORIMURON x KGRS.</t>
  </si>
  <si>
    <t>2-1965</t>
  </si>
  <si>
    <t>CLORSULFURON (FINESSE-STERN) X KG</t>
  </si>
  <si>
    <t>2-2319</t>
  </si>
  <si>
    <t>COMPLEX PLUS</t>
  </si>
  <si>
    <t>2-2301</t>
  </si>
  <si>
    <t>CONTROL MAX X KG</t>
  </si>
  <si>
    <t>2-2327</t>
  </si>
  <si>
    <t>CONVEY X LT. TOPRAMEZONE</t>
  </si>
  <si>
    <t>2-2312</t>
  </si>
  <si>
    <t>DICAMAX (DICAMBA) X 5 LTS</t>
  </si>
  <si>
    <t>2-1596</t>
  </si>
  <si>
    <t>EQUIP X CAJAS</t>
  </si>
  <si>
    <t>ERRASIN 60% X KG.(METSULFURON)</t>
  </si>
  <si>
    <t>2-2324</t>
  </si>
  <si>
    <t>FOKKER (FOMESAFEN)</t>
  </si>
  <si>
    <t>2-2342</t>
  </si>
  <si>
    <t>FOMESAFEN X LTS</t>
  </si>
  <si>
    <t>2-1942</t>
  </si>
  <si>
    <t>GALANT HL</t>
  </si>
  <si>
    <t>GLIFOSATO ACA X 20 L.</t>
  </si>
  <si>
    <t>2-2273</t>
  </si>
  <si>
    <t>GLIFOSATO BONQUIM X 20 LTS</t>
  </si>
  <si>
    <t>2-1708</t>
  </si>
  <si>
    <t>GLIFOSATO CREDIT FULL X 20 LTS.</t>
  </si>
  <si>
    <t>2-2231</t>
  </si>
  <si>
    <t>GLIFOSATO ESKOBA ELITE X 10 LTS</t>
  </si>
  <si>
    <t>2-1925</t>
  </si>
  <si>
    <t>GLIFOSATO ESTRELLA  AURUM x 20 Lts.</t>
  </si>
  <si>
    <t>2-1749</t>
  </si>
  <si>
    <t>GLIFOSATO SUPER ESTRELLA 2</t>
  </si>
  <si>
    <t>2-1518</t>
  </si>
  <si>
    <t>GLIFOSATO YPF X 20 LTS.</t>
  </si>
  <si>
    <t>2-1535</t>
  </si>
  <si>
    <t>GRAMOXONE X 5 L.</t>
  </si>
  <si>
    <t>2-1510</t>
  </si>
  <si>
    <t>GUARDIAN X 20 LTS.</t>
  </si>
  <si>
    <t>2-1883</t>
  </si>
  <si>
    <t>HALOXIFOP HL x 5 LTS</t>
  </si>
  <si>
    <t>2-1509</t>
  </si>
  <si>
    <t>HARNESS X 10 LTS.</t>
  </si>
  <si>
    <t>2-1731</t>
  </si>
  <si>
    <t>HERBICIDA  FLEX</t>
  </si>
  <si>
    <t>2-2333</t>
  </si>
  <si>
    <t>HERBICIDA ACURON PRE-EMERGENTE MAIZ</t>
  </si>
  <si>
    <t>2-1911</t>
  </si>
  <si>
    <t>HERBICIDA ADENGO x  LTS.</t>
  </si>
  <si>
    <t>2-2317</t>
  </si>
  <si>
    <t>HERBICIDA ARSENAL FORESTAL 80% X KG</t>
  </si>
  <si>
    <t>2-2291</t>
  </si>
  <si>
    <t>HERBICIDA AZBANY X 5 LTS</t>
  </si>
  <si>
    <t>2-1702</t>
  </si>
  <si>
    <t>HERBICIDA BICE PACK GOLD X CAJAS</t>
  </si>
  <si>
    <t>2-2242</t>
  </si>
  <si>
    <t>HERBICIDA BIGUA X KGS</t>
  </si>
  <si>
    <t>HERBICIDA CAPAZ 50 (SULFENTRAZONE)</t>
  </si>
  <si>
    <t>2-2315</t>
  </si>
  <si>
    <t>HERBICIDA CAPAZ MTZ X KGS</t>
  </si>
  <si>
    <t>2-2305</t>
  </si>
  <si>
    <t>HERBICIDA DASEN-BENAZOLIN 50%</t>
  </si>
  <si>
    <t>2-1689</t>
  </si>
  <si>
    <t>HERBICIDA DUAL GOLD X LTS.</t>
  </si>
  <si>
    <t>2-2334</t>
  </si>
  <si>
    <t>HERBICIDA EDDUS (METOLACLORO+FOMESAFEN)</t>
  </si>
  <si>
    <t>2-2306</t>
  </si>
  <si>
    <t>HERBICIDA FLOSIL - FOMESAFEN 25%</t>
  </si>
  <si>
    <t>2-2241</t>
  </si>
  <si>
    <t>HERBICIDA FLUMIZIN X 5 LTS</t>
  </si>
  <si>
    <t>2-1983</t>
  </si>
  <si>
    <t>HERBICIDA FMC BORAL X LT</t>
  </si>
  <si>
    <t>2-1994</t>
  </si>
  <si>
    <t>HERBICIDA GESAGARD 50 X 20 LTS</t>
  </si>
  <si>
    <t>2-2298</t>
  </si>
  <si>
    <t>HERBICIDA HAVOC (CLETODIN)</t>
  </si>
  <si>
    <t>2-1806</t>
  </si>
  <si>
    <t>HERBICIDA HEAT X KG.</t>
  </si>
  <si>
    <t>2-2282</t>
  </si>
  <si>
    <t>HERBICIDA HUCK (Lactofen 24%) X LTS.</t>
  </si>
  <si>
    <t>2-1959</t>
  </si>
  <si>
    <t>HERBICIDA IMIZET (IMAZETAPYR 10%)</t>
  </si>
  <si>
    <t>2-2292</t>
  </si>
  <si>
    <t>HERBICIDA KAMBA X LT (dicamba)</t>
  </si>
  <si>
    <t>2-1828</t>
  </si>
  <si>
    <t>HERBICIDA KOLTAR x 1 LT.</t>
  </si>
  <si>
    <t>2-1974</t>
  </si>
  <si>
    <t>HERBICIDA LIGATE x KGS.</t>
  </si>
  <si>
    <t>2-1903</t>
  </si>
  <si>
    <t>HERBICIDA PACTO x 0.36 Kgrs.</t>
  </si>
  <si>
    <t>2-2307</t>
  </si>
  <si>
    <t>HERBICIDA PERDURE X LTS</t>
  </si>
  <si>
    <t>2-2331</t>
  </si>
  <si>
    <t>HERBICIDA RITA (METRIBUZIN)</t>
  </si>
  <si>
    <t>2-2295</t>
  </si>
  <si>
    <t>HERBICIDA SENCOREX DUO X KGS</t>
  </si>
  <si>
    <t>2-1822</t>
  </si>
  <si>
    <t>HERBICIDA SENCOREX x 10 LTS</t>
  </si>
  <si>
    <t>2-1984</t>
  </si>
  <si>
    <t>HERBICIDA SHARK X LT</t>
  </si>
  <si>
    <t>2-1676</t>
  </si>
  <si>
    <t>HERBICIDA SPIDER X KG.</t>
  </si>
  <si>
    <t>2-2277</t>
  </si>
  <si>
    <t>HERBICIDA STAGGER X LTS.</t>
  </si>
  <si>
    <t>2-1812</t>
  </si>
  <si>
    <t>HERBICIDA TOCON X 1 LT.</t>
  </si>
  <si>
    <t>2-2332</t>
  </si>
  <si>
    <t>LIGATE BESTY PACK P/2 HAS</t>
  </si>
  <si>
    <t>METOLACLORO X 20 LTS</t>
  </si>
  <si>
    <t>2-1867</t>
  </si>
  <si>
    <t>NAVAJO GRANULADO X 5 KG</t>
  </si>
  <si>
    <t>2-1888</t>
  </si>
  <si>
    <t>PANZER GOLD x 20 LTS.-</t>
  </si>
  <si>
    <t>2-1744</t>
  </si>
  <si>
    <t>PARAQUAT x 5 LTS</t>
  </si>
  <si>
    <t>2-2229</t>
  </si>
  <si>
    <t>PERCUTOR X 900 GRMS</t>
  </si>
  <si>
    <t>2-1504</t>
  </si>
  <si>
    <t>PICLORAN (TORDON 24 K. -TORAN)</t>
  </si>
  <si>
    <t>2-1524</t>
  </si>
  <si>
    <t>PIVOT X 5 LTS.</t>
  </si>
  <si>
    <t>2-1646</t>
  </si>
  <si>
    <t>PREMERGE X 20 LTS</t>
  </si>
  <si>
    <t>2-1521</t>
  </si>
  <si>
    <t>PRESIDE X 5 LTS. DOW.</t>
  </si>
  <si>
    <t>2-2210</t>
  </si>
  <si>
    <t>PYRINEX CLORPIRIFOS X 5LTS</t>
  </si>
  <si>
    <t>2-1687</t>
  </si>
  <si>
    <t>ROUNDUP FULL 2</t>
  </si>
  <si>
    <t>2-1694</t>
  </si>
  <si>
    <t>ROUNDUP ULTRA MAX</t>
  </si>
  <si>
    <t>2-1606</t>
  </si>
  <si>
    <t>SAL AMINA</t>
  </si>
  <si>
    <t>2-1543</t>
  </si>
  <si>
    <t>SELECT X 10 LTS.</t>
  </si>
  <si>
    <t>2-1932</t>
  </si>
  <si>
    <t>SULFOSATO TD HI-TECH x 20 LTS.</t>
  </si>
  <si>
    <t>2-1533</t>
  </si>
  <si>
    <t>SULFOSATO X 20 LTS.</t>
  </si>
  <si>
    <t>SUMISOYA x LT</t>
  </si>
  <si>
    <t>2-1737</t>
  </si>
  <si>
    <t>SUPER ESTRELLA GRANULADO X KG.</t>
  </si>
  <si>
    <t>2-1575</t>
  </si>
  <si>
    <t>TOGAR B.T. X 1 L.</t>
  </si>
  <si>
    <t>2-2326</t>
  </si>
  <si>
    <t>VELOCITY (HALOXIFOP HL)</t>
  </si>
  <si>
    <t>2-1893</t>
  </si>
  <si>
    <t>WEEDAR DRY (2.4.D) x 5 KG.</t>
  </si>
  <si>
    <t>2-2308</t>
  </si>
  <si>
    <t>WEEDAR FULL X LTS</t>
  </si>
  <si>
    <t>202</t>
  </si>
  <si>
    <t>2-1938</t>
  </si>
  <si>
    <t>ABAMECTINA X 5 LTS.</t>
  </si>
  <si>
    <t>2-1576</t>
  </si>
  <si>
    <t>ACTELLIC 50  x 1 LT.</t>
  </si>
  <si>
    <t>2-2299</t>
  </si>
  <si>
    <t>ACTELLIC PLUS PACK X LTS</t>
  </si>
  <si>
    <t>2-1846</t>
  </si>
  <si>
    <t>ACTELLIC PLUS x 5 LTS</t>
  </si>
  <si>
    <t>2-1536</t>
  </si>
  <si>
    <t>AFICIDA X 1 KG.</t>
  </si>
  <si>
    <t>2-1782</t>
  </si>
  <si>
    <t>ASCARICER TRUCK X 20 LTS.</t>
  </si>
  <si>
    <t>2-1515</t>
  </si>
  <si>
    <t>BIFENTRIN X LTS</t>
  </si>
  <si>
    <t>2-1821</t>
  </si>
  <si>
    <t>CEBO GRANULADO BIBO ACAY x 30 KGS.</t>
  </si>
  <si>
    <t>2-1692</t>
  </si>
  <si>
    <t>CIPERMETRINA X 1 LT.-</t>
  </si>
  <si>
    <t>2-1542</t>
  </si>
  <si>
    <t>CIPERMETRINA X 5 LTS.-</t>
  </si>
  <si>
    <t>2-1614</t>
  </si>
  <si>
    <t>CLAP TUCURICIDA X FRASCO 200 CC.</t>
  </si>
  <si>
    <t>2-1987</t>
  </si>
  <si>
    <t>CLAP TUCURICIDA X FRASCO 250 CC.</t>
  </si>
  <si>
    <t>2-1621</t>
  </si>
  <si>
    <t>CLARTEX + R TDS X KGS</t>
  </si>
  <si>
    <t>CLARTEX B.B. X 25 KG.</t>
  </si>
  <si>
    <t>CLORPIRIFOS X 20 L.</t>
  </si>
  <si>
    <t>2-1729</t>
  </si>
  <si>
    <t>DECIS FLOW X 1 LT.</t>
  </si>
  <si>
    <t>2-1501</t>
  </si>
  <si>
    <t>DECIS FORTE X LTS.</t>
  </si>
  <si>
    <t>2-1578</t>
  </si>
  <si>
    <t>DEPEGAL D.D.V.P. X 1 L.</t>
  </si>
  <si>
    <t>2-1569</t>
  </si>
  <si>
    <t>DIMETOATO X 5 L. Q.E.A.C.A.</t>
  </si>
  <si>
    <t>2-1571</t>
  </si>
  <si>
    <t>ENDOSULFAN X LTS.</t>
  </si>
  <si>
    <t>2-1781</t>
  </si>
  <si>
    <t>FIGHTER - PLUS X LTS.</t>
  </si>
  <si>
    <t>2-1945</t>
  </si>
  <si>
    <t>INSEC- ACARIC. TALSTAR x 5 LTS.</t>
  </si>
  <si>
    <t>2-1775</t>
  </si>
  <si>
    <t>INSEC.EXTRA TACKLE X 1 LT.</t>
  </si>
  <si>
    <t>2-1776</t>
  </si>
  <si>
    <t>INSEC.EXTRA TACKLE X 20 LTS.</t>
  </si>
  <si>
    <t>2-1840</t>
  </si>
  <si>
    <t>INSECT.VOLIAN TARGO X 1 LT.</t>
  </si>
  <si>
    <t>2-2278</t>
  </si>
  <si>
    <t>INSECTICIDA AMICOR RYNAXYPYR 20% X 1LT</t>
  </si>
  <si>
    <t>2-2297</t>
  </si>
  <si>
    <t>INSECTICIDA AMPLIGO X 1 LT</t>
  </si>
  <si>
    <t>2-1934</t>
  </si>
  <si>
    <t>INSECTICIDA ARCHER PLUS</t>
  </si>
  <si>
    <t>2-1805</t>
  </si>
  <si>
    <t>INSECTICIDA ATTACK X 1 LTS.</t>
  </si>
  <si>
    <t>2-1796</t>
  </si>
  <si>
    <t>INSECTICIDA ATTACK x 20 LTS.</t>
  </si>
  <si>
    <t>2-1940</t>
  </si>
  <si>
    <t>INSECTICIDA BELT x 1 Lt.</t>
  </si>
  <si>
    <t>2-1848</t>
  </si>
  <si>
    <t>INSECTICIDA BISTAR</t>
  </si>
  <si>
    <t>2-1756</t>
  </si>
  <si>
    <t>INSECTICIDA CIANEX LPU x 5 LTS.</t>
  </si>
  <si>
    <t>2-1836</t>
  </si>
  <si>
    <t>INSECTICIDA CORAGEN X 1 LT.</t>
  </si>
  <si>
    <t>2-2296</t>
  </si>
  <si>
    <t>INSECTICIDA COSMIC X LTS</t>
  </si>
  <si>
    <t>2-1714</t>
  </si>
  <si>
    <t>INSECTICIDA CURYOM X LTS</t>
  </si>
  <si>
    <t>INSECTICIDA ENGEO X 5 LTS.</t>
  </si>
  <si>
    <t>2-2288</t>
  </si>
  <si>
    <t>INSECTICIDA HALLMARK</t>
  </si>
  <si>
    <t>2-1826</t>
  </si>
  <si>
    <t>INSECTICIDA INTREPID x 1 LT.</t>
  </si>
  <si>
    <t>2-1827</t>
  </si>
  <si>
    <t>INSECTICIDA INTREPID x 5 Lts.</t>
  </si>
  <si>
    <t>2-1961</t>
  </si>
  <si>
    <t>INSECTICIDA KAISO x 500 GRS.</t>
  </si>
  <si>
    <t>2-1944</t>
  </si>
  <si>
    <t>INSECTICIDA MAGIC x 20 LTS.</t>
  </si>
  <si>
    <t>2-1790</t>
  </si>
  <si>
    <t>INSECTICIDA NERO x 5 LTS.</t>
  </si>
  <si>
    <t>2-2257</t>
  </si>
  <si>
    <t>INSECTICIDA NEXIDE X LTS</t>
  </si>
  <si>
    <t>2-2283</t>
  </si>
  <si>
    <t>INSECTICIDA REPEL CHEM FULL</t>
  </si>
  <si>
    <t>2-2287</t>
  </si>
  <si>
    <t>INSECTICIDA RETAKER</t>
  </si>
  <si>
    <t>2-1870</t>
  </si>
  <si>
    <t>INSECTICIDA RUNNER X 5 LTS</t>
  </si>
  <si>
    <t>INSECTICIDA SOLOMON X 5 LTS</t>
  </si>
  <si>
    <t>2-2276</t>
  </si>
  <si>
    <t>INSECTICIDA STARKLE X KGS.</t>
  </si>
  <si>
    <t>INSECTICIDA TOQUE X 5 LTS.</t>
  </si>
  <si>
    <t>2-2266</t>
  </si>
  <si>
    <t>INSECTICIDA VOLIAM FLEXI</t>
  </si>
  <si>
    <t>2-1874</t>
  </si>
  <si>
    <t>INSECTICIDA ZENITH  X LT</t>
  </si>
  <si>
    <t>2-1872</t>
  </si>
  <si>
    <t>INSECTICIDAD EXTRA TACKLE L.P.U X 20 LT</t>
  </si>
  <si>
    <t>2-2313</t>
  </si>
  <si>
    <t>JION LAMBDACIALOTRINA 25% (SAMAL)</t>
  </si>
  <si>
    <t>2-1943</t>
  </si>
  <si>
    <t>KARATE ZEON 5% x 5 TLS.</t>
  </si>
  <si>
    <t>2-1612</t>
  </si>
  <si>
    <t>KARATE ZEON X 1  LTS.</t>
  </si>
  <si>
    <t>2-1622</t>
  </si>
  <si>
    <t>KOBIOL X LTS.</t>
  </si>
  <si>
    <t>2-2233</t>
  </si>
  <si>
    <t>REPEL CHEM MAX  X  LTS</t>
  </si>
  <si>
    <t>203</t>
  </si>
  <si>
    <t>2-1962</t>
  </si>
  <si>
    <t>FUNG. AMISTAR x 5 LTS.</t>
  </si>
  <si>
    <t>2-1598</t>
  </si>
  <si>
    <t>FUNG. CARBENDAZIN FLOK 50</t>
  </si>
  <si>
    <t>2-2309</t>
  </si>
  <si>
    <t>FUNG. SUMIEIGTH MT X LTS</t>
  </si>
  <si>
    <t>2-1890</t>
  </si>
  <si>
    <t>FUNG.COBRE STABLE x 20 LTS.</t>
  </si>
  <si>
    <t>2-1878</t>
  </si>
  <si>
    <t>FUNGICIDA AMISTAR TOP X 5 LTS</t>
  </si>
  <si>
    <t>2-2265</t>
  </si>
  <si>
    <t>FUNGICIDA AMISTAR XTRA GOLD</t>
  </si>
  <si>
    <t>2-1671</t>
  </si>
  <si>
    <t>FUNGICIDA AMISTAR XTRA X 5 LTS.</t>
  </si>
  <si>
    <t>2-1891</t>
  </si>
  <si>
    <t>FUNGICIDA CENTRON ME x 5 LTS.</t>
  </si>
  <si>
    <t>FUNGICIDA COMPINCHE X 5 L</t>
  </si>
  <si>
    <t>2-1885</t>
  </si>
  <si>
    <t>FUNGICIDA CONCORDE RM x 5 LTS.</t>
  </si>
  <si>
    <t>2-1973</t>
  </si>
  <si>
    <t>FUNGICIDA DACONIL 72 x 5 LTS.-</t>
  </si>
  <si>
    <t>2-1935</t>
  </si>
  <si>
    <t>FUNGICIDA GEYSER x 5 LTS.-</t>
  </si>
  <si>
    <t>2-1699</t>
  </si>
  <si>
    <t>FUNGICIDA NATIVO X LTS.</t>
  </si>
  <si>
    <t>2-2303</t>
  </si>
  <si>
    <t>FUNGICIDA PARADISE X LT.</t>
  </si>
  <si>
    <t>2-1851</t>
  </si>
  <si>
    <t>FUNGICIDA PLANET XTRA</t>
  </si>
  <si>
    <t>2-2300</t>
  </si>
  <si>
    <t>FUNGICIDA RACE RM X LTS.</t>
  </si>
  <si>
    <t>2-1728</t>
  </si>
  <si>
    <t>FUNGICIDA SPHERE MAX</t>
  </si>
  <si>
    <t>FUNGICIDA STINGER x 5 LTS.</t>
  </si>
  <si>
    <t>2-2340</t>
  </si>
  <si>
    <t>FUNGICIDA TEMPUS (XTRA A.C.A)</t>
  </si>
  <si>
    <t>2-1761</t>
  </si>
  <si>
    <t>TEBUCONAZOLE 25%</t>
  </si>
  <si>
    <t>204</t>
  </si>
  <si>
    <t>2-1995</t>
  </si>
  <si>
    <t>APRON MAXX ADVANCE</t>
  </si>
  <si>
    <t>2-1659</t>
  </si>
  <si>
    <t>APRON MAXX PACK P/3000 KGS.</t>
  </si>
  <si>
    <t>2-1807</t>
  </si>
  <si>
    <t>APRON MAXX RFC X LTS</t>
  </si>
  <si>
    <t>2-1793</t>
  </si>
  <si>
    <t>CHUCARO X 5 LTS.</t>
  </si>
  <si>
    <t>2-2240</t>
  </si>
  <si>
    <t>CKC FLOW SYSTEMIC 15/15 x lts</t>
  </si>
  <si>
    <t>2-2228</t>
  </si>
  <si>
    <t>CREATE PACK X UNIDAD</t>
  </si>
  <si>
    <t>2-2230</t>
  </si>
  <si>
    <t>CURASEMILLA MATRERO 60 FS x 1 LT</t>
  </si>
  <si>
    <t>2-1907</t>
  </si>
  <si>
    <t>CURASEMILLA RITIRAM CARB PLUS x 5 LTS.</t>
  </si>
  <si>
    <t>2-2275</t>
  </si>
  <si>
    <t>CURASEMILLA RIZODERMA P/1500 KG</t>
  </si>
  <si>
    <t>2-2271</t>
  </si>
  <si>
    <t>CURASEMILLAS DIVIDEND XTRA</t>
  </si>
  <si>
    <t>2-1917</t>
  </si>
  <si>
    <t>CURASEMILLAS EXCELTO x 1 LT.</t>
  </si>
  <si>
    <t>CURASEMILLAS MAXIM XL</t>
  </si>
  <si>
    <t>2-1663</t>
  </si>
  <si>
    <t>CURASEMILLAS PROTEC 25  X 5 LTS.</t>
  </si>
  <si>
    <t>2-1914</t>
  </si>
  <si>
    <t>CURASEMILLAS PUCARA X 1 LT</t>
  </si>
  <si>
    <t>CURASEMILLAS TENACIUS (RIZOBACTER)</t>
  </si>
  <si>
    <t>2-1562</t>
  </si>
  <si>
    <t>DIVIDEND CURASEMILLA X LTS.</t>
  </si>
  <si>
    <t>2-2316</t>
  </si>
  <si>
    <t>FUNGICIDA CRIPTON x lts</t>
  </si>
  <si>
    <t>2-1750</t>
  </si>
  <si>
    <t>INOCUL.PACK ENVION ACUOSO P/60 BLS.-</t>
  </si>
  <si>
    <t>2-1600</t>
  </si>
  <si>
    <t>INOCULANTE C.K.C LIQ.x 100 DOSIS</t>
  </si>
  <si>
    <t>2-2259</t>
  </si>
  <si>
    <t>INOCULANTE CKC P/ VICIA ARV.LENT. X 75DS</t>
  </si>
  <si>
    <t>2-1583</t>
  </si>
  <si>
    <t>INOCULANTE CKC.FUNG PACK SIST. X 75 D.</t>
  </si>
  <si>
    <t>2-1667</t>
  </si>
  <si>
    <t>INOCULANTE ECO RIZOSPRAY X 1 LT</t>
  </si>
  <si>
    <t>2-1763</t>
  </si>
  <si>
    <t>INOCULANTE RIALFA (SOBRE X 200 GRS)</t>
  </si>
  <si>
    <t>2-1668</t>
  </si>
  <si>
    <t>INOCULANTE RIZOLIQ (VEJIGA X 3 LT)</t>
  </si>
  <si>
    <t>2-1809</t>
  </si>
  <si>
    <t>NITRAGIN OPTIMIZE FULL PACK 2500 KGS.</t>
  </si>
  <si>
    <t>2-2337</t>
  </si>
  <si>
    <t>PACK  OPTION X 80 DOSIS</t>
  </si>
  <si>
    <t>2-2336</t>
  </si>
  <si>
    <t>PACK ORIGEN X 80 DOSIS</t>
  </si>
  <si>
    <t>2-2286</t>
  </si>
  <si>
    <t>PREMAX X 1 LT (PROTECTOR)</t>
  </si>
  <si>
    <t>2-1894</t>
  </si>
  <si>
    <t>RILEGUM (SOBRE x 200 GRS)</t>
  </si>
  <si>
    <t>2-1949</t>
  </si>
  <si>
    <t>RILEGUM LIQ x 1 LT.(Curas.P/Vicia)</t>
  </si>
  <si>
    <t>2-2224</t>
  </si>
  <si>
    <t>RILEGUM PACK 203 X CAJA</t>
  </si>
  <si>
    <t>2-2223</t>
  </si>
  <si>
    <t>RILEGUM TOP VJGA. x 2 LTS.</t>
  </si>
  <si>
    <t>2-1916</t>
  </si>
  <si>
    <t>RIZO LIQ PACK GARBANZO</t>
  </si>
  <si>
    <t>2-1651</t>
  </si>
  <si>
    <t>RIZO SPRAY CORRECTOR SECUESTRANTE</t>
  </si>
  <si>
    <t>2-1975</t>
  </si>
  <si>
    <t>RIZO-LIQ TOP X VEJIGA X 5 LTS.</t>
  </si>
  <si>
    <t>2-1976</t>
  </si>
  <si>
    <t>RIZO-LIQ X 7.5 VEJIGA</t>
  </si>
  <si>
    <t>2-2213</t>
  </si>
  <si>
    <t>RIZOFOS LIQ.TRIGO PRE-INOC .(P/1500 KG)</t>
  </si>
  <si>
    <t>2-1966</t>
  </si>
  <si>
    <t>RIZOLIQ TOP GARBANZO X LT.</t>
  </si>
  <si>
    <t>2-1988</t>
  </si>
  <si>
    <t>RIZOPACK (60 Dosis) 203</t>
  </si>
  <si>
    <t>2-1860</t>
  </si>
  <si>
    <t>RIZOPACK (60 dosis) 101</t>
  </si>
  <si>
    <t>RIZOPACK (60 dosis) 102</t>
  </si>
  <si>
    <t>2-1862</t>
  </si>
  <si>
    <t>RIZOPACK (60 dosis) 201</t>
  </si>
  <si>
    <t>2-1863</t>
  </si>
  <si>
    <t>RIZOPACK (60 dosis) 202</t>
  </si>
  <si>
    <t>2-1864</t>
  </si>
  <si>
    <t>RIZOPACK (60 dosis) 211</t>
  </si>
  <si>
    <t>2-1865</t>
  </si>
  <si>
    <t>RIZOPACK (60 dosis) 212</t>
  </si>
  <si>
    <t>2-1919</t>
  </si>
  <si>
    <t>RIZOPACK GARBANZO 202</t>
  </si>
  <si>
    <t>2-2218</t>
  </si>
  <si>
    <t>RIZOPACK GARBANZO 213 X CAJA</t>
  </si>
  <si>
    <t>2-2285</t>
  </si>
  <si>
    <t>SIGNUM PACK 302</t>
  </si>
  <si>
    <t>2-1905</t>
  </si>
  <si>
    <t>SIGNUM PACK 312 (Rizobacter) x 60 Dosis</t>
  </si>
  <si>
    <t>2-1986</t>
  </si>
  <si>
    <t>SIGNUM PACK 313</t>
  </si>
  <si>
    <t>205</t>
  </si>
  <si>
    <t>2-1593</t>
  </si>
  <si>
    <t>ACEITE AGRICOLA X 20 LTS.</t>
  </si>
  <si>
    <t>2-2323</t>
  </si>
  <si>
    <t>ACEITE METILADO VERSION</t>
  </si>
  <si>
    <t>2-1783</t>
  </si>
  <si>
    <t>ACEITE VEGETAL X 20 LTS.</t>
  </si>
  <si>
    <t>2-2206</t>
  </si>
  <si>
    <t>ACTIVATE MAX X LTS</t>
  </si>
  <si>
    <t>2-2226</t>
  </si>
  <si>
    <t>ACTIVATE PLUS X 5 LTS</t>
  </si>
  <si>
    <t>2-1677</t>
  </si>
  <si>
    <t>ADERENTE NIMBUS X 5 LTS.</t>
  </si>
  <si>
    <t>ADERENTE SILWET</t>
  </si>
  <si>
    <t>2-2268</t>
  </si>
  <si>
    <t>ADERENTE X-TRIM "G " POWER X LTS</t>
  </si>
  <si>
    <t>2-1703</t>
  </si>
  <si>
    <t>ADERENTE X-TRIM GLIF. X FCO. 1.1 LTS.-</t>
  </si>
  <si>
    <t>2-2238</t>
  </si>
  <si>
    <t>ADERENTE X-TRIM POWER X LTS</t>
  </si>
  <si>
    <t>2-1537</t>
  </si>
  <si>
    <t>ADERENTE X-TRIM X LTS.</t>
  </si>
  <si>
    <t>2-2304</t>
  </si>
  <si>
    <t>ADERENTE XTRIM LOW FLOW</t>
  </si>
  <si>
    <t>2-1599</t>
  </si>
  <si>
    <t>ADHERENTE A.C.A. X. 5 LTS.</t>
  </si>
  <si>
    <t>2-1937</t>
  </si>
  <si>
    <t>ADHERENTE UPTAKE x 5 LTS.</t>
  </si>
  <si>
    <t>2-1517</t>
  </si>
  <si>
    <t>ANTIDERIVA X  1LTS.</t>
  </si>
  <si>
    <t>2-1545</t>
  </si>
  <si>
    <t>ANTIESPUMA X LTS</t>
  </si>
  <si>
    <t>2-1810</t>
  </si>
  <si>
    <t>CEBADOR ACA NS LIQUIDO X LTS.</t>
  </si>
  <si>
    <t>2-2314</t>
  </si>
  <si>
    <t>COADYUVANTE SAMAL NH4</t>
  </si>
  <si>
    <t>2-1660</t>
  </si>
  <si>
    <t>COMPLEX (SULFATO DE AMONIO X 20 LTS.)</t>
  </si>
  <si>
    <t>2-1923</t>
  </si>
  <si>
    <t>CUBO x Lts.(Fosfito)</t>
  </si>
  <si>
    <t>2-2290</t>
  </si>
  <si>
    <t>FERT. FOLIAR XILONEN FOSFITO X LTS</t>
  </si>
  <si>
    <t>2-2289</t>
  </si>
  <si>
    <t>FERT. FOLIAR XILONEN X LTS</t>
  </si>
  <si>
    <t>2-1757</t>
  </si>
  <si>
    <t>FULL TEC (ADHERENTE FOLIAR)</t>
  </si>
  <si>
    <t>2-1948</t>
  </si>
  <si>
    <t>FULL TEC FLECHA x LT.</t>
  </si>
  <si>
    <t>2-1650</t>
  </si>
  <si>
    <t>FULL TEC TOP X LT.</t>
  </si>
  <si>
    <t>2-2325</t>
  </si>
  <si>
    <t>FULl TEC TOP ZINC X LT</t>
  </si>
  <si>
    <t>2-2232</t>
  </si>
  <si>
    <t>GRANERO PREMIUM X 20 LTS (FERT. FOLIAR)</t>
  </si>
  <si>
    <t>2-1972</t>
  </si>
  <si>
    <t>LIMPIADOR RIZO SPRAY CLEANER x 1 LT.</t>
  </si>
  <si>
    <t>2-2274</t>
  </si>
  <si>
    <t>MICROSTAR RIZOBACTER X 10 KG</t>
  </si>
  <si>
    <t>2-1735</t>
  </si>
  <si>
    <t>OPTIMIZER x 10 LTS</t>
  </si>
  <si>
    <t>2-1978</t>
  </si>
  <si>
    <t>RIZO SPRAY EXTREMO X 10 LTS</t>
  </si>
  <si>
    <t>2-2246</t>
  </si>
  <si>
    <t>RIZO SPRAY SULFO X 15 LTS</t>
  </si>
  <si>
    <t>2-2237</t>
  </si>
  <si>
    <t>RIZOSPRAY ANTIDERIVA X LT</t>
  </si>
  <si>
    <t>2-2245</t>
  </si>
  <si>
    <t>SULFA-FIX (SULFATO DE AMONIO)</t>
  </si>
  <si>
    <t>2-2320</t>
  </si>
  <si>
    <t>SULFATO DE AMONIO (CEBADOR ACA) X LTS</t>
  </si>
  <si>
    <t>206</t>
  </si>
  <si>
    <t>FERT. MEZCLA LIQ. SOLMIX</t>
  </si>
  <si>
    <t>2-1939</t>
  </si>
  <si>
    <t>FERTILIZANTE .LIQ.SOLMIX ZINC</t>
  </si>
  <si>
    <t>2-1970</t>
  </si>
  <si>
    <t>FERTILIZANTE MEZCLA SZ x TN.</t>
  </si>
  <si>
    <t>2-1611</t>
  </si>
  <si>
    <t>FERTILIZANTE UAN LIQUIDO X TON</t>
  </si>
  <si>
    <t>2-1813</t>
  </si>
  <si>
    <t>FOSFATO DIAMONICO GRANEL X TN.</t>
  </si>
  <si>
    <t>FOSFATO MONOAMONICO GRANEL X TON.</t>
  </si>
  <si>
    <t>2-1922</t>
  </si>
  <si>
    <t>FULL TEC MAIS x LT.</t>
  </si>
  <si>
    <t>2-1682</t>
  </si>
  <si>
    <t>MAP- AZUFRADO X TONELADA</t>
  </si>
  <si>
    <t>2-2214</t>
  </si>
  <si>
    <t>MOSAIC S9 TRIGO (10-46-0-9-0)</t>
  </si>
  <si>
    <t>2-1605</t>
  </si>
  <si>
    <t>STO. DE CALCIO (YESO) Peleteado</t>
  </si>
  <si>
    <t>2-1690</t>
  </si>
  <si>
    <t>SULFATO DE AMONIO X TON.</t>
  </si>
  <si>
    <t>2-1635</t>
  </si>
  <si>
    <t>SUPER FOSFATO SIMPLE X 50 KG.</t>
  </si>
  <si>
    <t>SUPER FOSFATO SIMPLE X TT.</t>
  </si>
  <si>
    <t>2-1747</t>
  </si>
  <si>
    <t>SUPER FOSFATO TRIPLE X TN.</t>
  </si>
  <si>
    <t>UREA  GRANULADO X TONELADA</t>
  </si>
  <si>
    <t>2-1588</t>
  </si>
  <si>
    <t>UREA GRANULADA X BOLSAS 50 KG.</t>
  </si>
  <si>
    <t>2-2302</t>
  </si>
  <si>
    <t>UREA N-GRADUAL X TT</t>
  </si>
  <si>
    <t>2-1587</t>
  </si>
  <si>
    <t>UREA PERLADA X TONELADA.</t>
  </si>
  <si>
    <t>MAIZ sobre CS- Margen Bruto</t>
  </si>
  <si>
    <t>MANI - Margen Bruto</t>
  </si>
  <si>
    <t>Labor</t>
  </si>
  <si>
    <t>GIRASOL - Margen Bruto</t>
  </si>
  <si>
    <t>Descuento s/precio (flet-comis)</t>
  </si>
  <si>
    <t>Ventas</t>
  </si>
  <si>
    <t>Tipo Cambio Insumos Promedio</t>
  </si>
  <si>
    <t>T.C.</t>
  </si>
  <si>
    <t>Porc.</t>
  </si>
  <si>
    <t>Precios Pizarra</t>
  </si>
  <si>
    <t>(precio con descuentos)</t>
  </si>
  <si>
    <t>Rinde de Indiferencia (equilibrio)</t>
  </si>
  <si>
    <t>soja forward</t>
  </si>
  <si>
    <t>maíz forward</t>
  </si>
  <si>
    <t>Rinde esperado (qq. x ha.)</t>
  </si>
  <si>
    <t>trigo forward</t>
  </si>
  <si>
    <t>mani forward</t>
  </si>
  <si>
    <t>Relación Maíz/Soja</t>
  </si>
  <si>
    <t xml:space="preserve">Alquiler </t>
  </si>
  <si>
    <t>qq. llenos</t>
  </si>
  <si>
    <t>girasol forward</t>
  </si>
  <si>
    <t>Precio Venta Promedio</t>
  </si>
  <si>
    <t>( alquiler en dólares )</t>
  </si>
  <si>
    <t>Relación Trigo/Soja</t>
  </si>
  <si>
    <t>Pcio.</t>
  </si>
  <si>
    <t>QQ.</t>
  </si>
  <si>
    <t>interés financiación (qq.):</t>
  </si>
  <si>
    <t>Venta Productor</t>
  </si>
  <si>
    <t>Costos Implantación (u$s) *</t>
  </si>
  <si>
    <t>Dólar  Forward</t>
  </si>
  <si>
    <t>Brecha Cambiaria</t>
  </si>
  <si>
    <t>en quintales</t>
  </si>
  <si>
    <t>interés financiación (u$s):</t>
  </si>
  <si>
    <t>Dólar  insumos</t>
  </si>
  <si>
    <t>Ganancia Bruta en u$s :</t>
  </si>
  <si>
    <t>Pcio. Ha. (en u$S)</t>
  </si>
  <si>
    <t>Alquileres</t>
  </si>
  <si>
    <t>Gcia. en QQ. Soja (por cultivo) :</t>
  </si>
  <si>
    <t>rentabilidad campo propio</t>
  </si>
  <si>
    <t>rentabilidad :</t>
  </si>
  <si>
    <t>rentabilidad campo alquilado</t>
  </si>
  <si>
    <t>Producción Total</t>
  </si>
  <si>
    <t>Remanente de Vender</t>
  </si>
  <si>
    <t xml:space="preserve">Gcia. Bta. c/ Rotación en u$s : </t>
  </si>
  <si>
    <t>U$S año(promedio 3 años)</t>
  </si>
  <si>
    <t>renta (prom.) en QQ:</t>
  </si>
  <si>
    <t>rentabilidad promedio</t>
  </si>
  <si>
    <t>para lograr una rentabilidad de :</t>
  </si>
  <si>
    <t>ALQUILER en qq. de Soja :</t>
  </si>
  <si>
    <t>alquiler p/ rentab. Indicada c/ rotación (33%) :</t>
  </si>
  <si>
    <t>ALQUILER en qq. de cada cereal :</t>
  </si>
  <si>
    <t>diferencia Rotac. vs. Soja 1º :</t>
  </si>
  <si>
    <t>dólares por ha.</t>
  </si>
  <si>
    <t>quintales año menos</t>
  </si>
  <si>
    <t>RENTABILIDAD PRODUCTOR (x Ha.)</t>
  </si>
  <si>
    <t>en u$s</t>
  </si>
  <si>
    <t>RENTABILIDAD ARRENDADOR (x Ha.)</t>
  </si>
  <si>
    <t>RENTABILIDAD GOBIERNO (x Ha.)</t>
  </si>
  <si>
    <t>Retenciones Exportaciones :</t>
  </si>
  <si>
    <t>en dólares</t>
  </si>
  <si>
    <t xml:space="preserve"> APROVECHAMIENTO del RECURSO CAMPO (con la debida rotación)</t>
  </si>
  <si>
    <t>.</t>
  </si>
  <si>
    <t>Imp. Gcia.</t>
  </si>
  <si>
    <t>Neto</t>
  </si>
  <si>
    <t>Ingreso Gobierno</t>
  </si>
  <si>
    <t>Ingreso Arrendador</t>
  </si>
  <si>
    <t>de lo real</t>
  </si>
  <si>
    <t>Ingreso PRODUCTOR</t>
  </si>
  <si>
    <t xml:space="preserve">Imp. Gcia. </t>
  </si>
  <si>
    <t xml:space="preserve"> APROVECHAMIENTO del RECURSO CAMPO (sin rotación)</t>
  </si>
  <si>
    <t>CONSECUENCIAS EN LOS INGRESOS DE LA NO ROTACION</t>
  </si>
  <si>
    <t>mejor ingreso para Gobierno</t>
  </si>
  <si>
    <t xml:space="preserve">igual ingreso para Arrendador </t>
  </si>
  <si>
    <t>mejor ingreso para Productor</t>
  </si>
  <si>
    <t>peor ingreso para Cooperativa</t>
  </si>
  <si>
    <t>peor ingreso para Cereales</t>
  </si>
  <si>
    <t>peor ingreso para Insumos</t>
  </si>
  <si>
    <t>Determinación RESULTADO Bruto PROYECTADO</t>
  </si>
  <si>
    <t xml:space="preserve">Precio Granos : </t>
  </si>
  <si>
    <t xml:space="preserve">Rinde Obtenido : </t>
  </si>
  <si>
    <t>Alquiler en Soja :</t>
  </si>
  <si>
    <t>Utilidad x ha. (en u$s) :</t>
  </si>
  <si>
    <t>Totales</t>
  </si>
  <si>
    <t xml:space="preserve">Has. Explotadas x Cultivo : </t>
  </si>
  <si>
    <t>Resultado (en u$s ) :</t>
  </si>
  <si>
    <t>Resultado (en $ ) :</t>
  </si>
  <si>
    <t>Resultado (en qq. ) :</t>
  </si>
  <si>
    <t>Has Alquiladas:</t>
  </si>
  <si>
    <t>Has Propias:</t>
  </si>
  <si>
    <t>u$s x ha.</t>
  </si>
  <si>
    <t>$ x ha.</t>
  </si>
  <si>
    <t>GASTOS EXPLOTACION</t>
  </si>
  <si>
    <t>en Pesos</t>
  </si>
  <si>
    <t>en Quintales</t>
  </si>
  <si>
    <t>en QQ. X Ha.</t>
  </si>
  <si>
    <t>Gasto Anual Particular :</t>
  </si>
  <si>
    <t>Gasto Anual Empresa Agrop. :</t>
  </si>
  <si>
    <t>Gastos Bancarios :</t>
  </si>
  <si>
    <t>Jubilac., Monotrib., etc.:</t>
  </si>
  <si>
    <t>Combustible/Movilidad :</t>
  </si>
  <si>
    <t xml:space="preserve"> Sueldos :</t>
  </si>
  <si>
    <t>Asesores :</t>
  </si>
  <si>
    <t>Monitoreo :</t>
  </si>
  <si>
    <t>Intereses :</t>
  </si>
  <si>
    <t>Otros :</t>
  </si>
  <si>
    <t>Impuestos :</t>
  </si>
  <si>
    <t>Otros Ingresos / Egresos :</t>
  </si>
  <si>
    <t>Alquileres Cobrados :</t>
  </si>
  <si>
    <t>Otros Ingresos</t>
  </si>
  <si>
    <t>Resultado Final :</t>
  </si>
  <si>
    <t xml:space="preserve">TOTAL : </t>
  </si>
  <si>
    <t xml:space="preserve">Consumo mm. agua en suelo : </t>
  </si>
  <si>
    <t xml:space="preserve">Promedio consumo : </t>
  </si>
  <si>
    <t xml:space="preserve">Lluvias anuales : </t>
  </si>
  <si>
    <t>excedente hídrico anual</t>
  </si>
  <si>
    <t>Hibrido</t>
  </si>
  <si>
    <t>SIN FORMULA PORQUE NO ESPECIFICA MONEDA</t>
  </si>
  <si>
    <t>Labor Arrancada mani</t>
  </si>
  <si>
    <t>Labor Cosecha mani</t>
  </si>
  <si>
    <t>Labor Secado CS c/rolo</t>
  </si>
  <si>
    <t>Producción</t>
  </si>
  <si>
    <t>Alquiler Propio</t>
  </si>
  <si>
    <t>FLUJO NETO</t>
  </si>
  <si>
    <t>x HECTAREA</t>
  </si>
  <si>
    <t>Valor Comisión (neta)</t>
  </si>
  <si>
    <t xml:space="preserve"> - - - - - - -- </t>
  </si>
  <si>
    <t>costo dosis/Ha</t>
  </si>
  <si>
    <t>Insecticida- Abamectina 3,6%</t>
  </si>
  <si>
    <t>Insecticida- Arpegio (Tiametox14,1+Lamb10,6)</t>
  </si>
  <si>
    <t>Insecticida- Spector (Lambdacialotrina 25%)</t>
  </si>
  <si>
    <t>Insecticida- Esfinge (Bifentrin 20%)</t>
  </si>
  <si>
    <t xml:space="preserve">Insecticida- Mentor (Clorantraniliprole 20%) </t>
  </si>
  <si>
    <t>Fertilizante- SPS</t>
  </si>
  <si>
    <t>Fertilizante- MicroEssentials Sz</t>
  </si>
  <si>
    <t>Fertilizante- MicroEssentials S9</t>
  </si>
  <si>
    <t>Fertilizante- MicroStar Rizobacter</t>
  </si>
  <si>
    <t>Fertilizante- Urea</t>
  </si>
  <si>
    <t>Fertilizante- MAP</t>
  </si>
  <si>
    <t>Coadyuvante- Meta Uno (aciete metilado)</t>
  </si>
  <si>
    <t>Coadyuvante- Optimizer</t>
  </si>
  <si>
    <t>Coadyubante- Silwet</t>
  </si>
  <si>
    <t>Coadyubante- Rizospray extremo</t>
  </si>
  <si>
    <t>Coadyubante- Fulltec max</t>
  </si>
  <si>
    <t>Fitoestimulante- Cubo</t>
  </si>
  <si>
    <t>Molusquicida- Clartex +R DTS</t>
  </si>
  <si>
    <t>Crustacicida- Clartex XTRA</t>
  </si>
  <si>
    <t>Insecticida- Cruza (lmida 10% + Bifentrin 3%)</t>
  </si>
  <si>
    <t>Insecticida- Solomon (Imida 21% + Betacyflutrina 9%)</t>
  </si>
  <si>
    <t>Insecticida- Mustang (zetametrina 20%)</t>
  </si>
  <si>
    <t>Curasemilla Compinche (trigo)</t>
  </si>
  <si>
    <t>Curasemilla Rizo Pack 102 (soja)</t>
  </si>
  <si>
    <t>Fitoestimulante- Topzinc max</t>
  </si>
  <si>
    <t>Fitoestimulante- Vitagrow</t>
  </si>
  <si>
    <t>Coadyubante- Rizospray Integrum</t>
  </si>
  <si>
    <t>Coadyubante- Optimix</t>
  </si>
  <si>
    <t>Fertilizante- Absortec copper.</t>
  </si>
  <si>
    <t xml:space="preserve">Fungicida-  Tempus Max (Protioconazole 17,5% + Azoxistrobina 16%) </t>
  </si>
  <si>
    <t>Fungicida- Tempus (Azoxistrobina 20% + Ciproconazole 8%)</t>
  </si>
  <si>
    <t>Fungicida- Cripton- (Protioconazole 17,5% + Trifloxystrobin 15%)</t>
  </si>
  <si>
    <t>Fungicida- Cripton xpro- (Protioconazole 17,5% + Trifloxistrobin 15% + Bixafen 15%)</t>
  </si>
  <si>
    <t>Fungicida Miravis Duo (Difenoconazole 12,5% + Pydiflumetofen 7,5%)</t>
  </si>
  <si>
    <r>
      <t>Herbicida- Margen pro (</t>
    </r>
    <r>
      <rPr>
        <sz val="10"/>
        <color theme="9" tint="-0.249977111117893"/>
        <rFont val="Arial"/>
        <family val="2"/>
      </rPr>
      <t>S-Metolacloro 96%</t>
    </r>
    <r>
      <rPr>
        <sz val="10"/>
        <rFont val="Arial"/>
        <family val="2"/>
      </rPr>
      <t>)</t>
    </r>
  </si>
  <si>
    <r>
      <t>Herbicida- Yamato Top (</t>
    </r>
    <r>
      <rPr>
        <sz val="10"/>
        <color theme="9" tint="-0.249977111117893"/>
        <rFont val="Arial"/>
        <family val="2"/>
      </rPr>
      <t>Pyroxasulfone 48%</t>
    </r>
    <r>
      <rPr>
        <sz val="10"/>
        <rFont val="Arial"/>
        <family val="2"/>
      </rPr>
      <t>)</t>
    </r>
  </si>
  <si>
    <r>
      <t>Herbicida- Acuron (</t>
    </r>
    <r>
      <rPr>
        <sz val="10"/>
        <color rgb="FF00B050"/>
        <rFont val="Arial"/>
        <family val="2"/>
      </rPr>
      <t>Biciclopirona 20%</t>
    </r>
    <r>
      <rPr>
        <sz val="10"/>
        <rFont val="Arial"/>
        <family val="2"/>
      </rPr>
      <t>)</t>
    </r>
  </si>
  <si>
    <r>
      <t>Herbicida- Cambium (</t>
    </r>
    <r>
      <rPr>
        <sz val="10"/>
        <color rgb="FF00B050"/>
        <rFont val="Arial"/>
        <family val="2"/>
      </rPr>
      <t>Diflufenican 50%</t>
    </r>
    <r>
      <rPr>
        <sz val="10"/>
        <rFont val="Arial"/>
        <family val="2"/>
      </rPr>
      <t xml:space="preserve">) </t>
    </r>
  </si>
  <si>
    <r>
      <t>Herbicida- Fierce (</t>
    </r>
    <r>
      <rPr>
        <sz val="10"/>
        <color rgb="FFFF0000"/>
        <rFont val="Arial"/>
        <family val="2"/>
      </rPr>
      <t>Flumioxazin 15%</t>
    </r>
    <r>
      <rPr>
        <sz val="10"/>
        <rFont val="Arial"/>
        <family val="2"/>
      </rPr>
      <t xml:space="preserve"> +</t>
    </r>
    <r>
      <rPr>
        <sz val="10"/>
        <color theme="9" tint="-0.249977111117893"/>
        <rFont val="Arial"/>
        <family val="2"/>
      </rPr>
      <t xml:space="preserve"> Pyroxasulfone 34,5%</t>
    </r>
    <r>
      <rPr>
        <sz val="10"/>
        <rFont val="Arial"/>
        <family val="2"/>
      </rPr>
      <t>)</t>
    </r>
  </si>
  <si>
    <r>
      <t>Herbicida- Fluminens (</t>
    </r>
    <r>
      <rPr>
        <sz val="10"/>
        <color rgb="FFFF0000"/>
        <rFont val="Arial"/>
        <family val="2"/>
      </rPr>
      <t>Flumioxazim 48%</t>
    </r>
    <r>
      <rPr>
        <sz val="10"/>
        <rFont val="Arial"/>
        <family val="2"/>
      </rPr>
      <t xml:space="preserve">) </t>
    </r>
  </si>
  <si>
    <r>
      <t>Herbicida- Saltum (</t>
    </r>
    <r>
      <rPr>
        <sz val="10"/>
        <color rgb="FFFF0000"/>
        <rFont val="Arial"/>
        <family val="2"/>
      </rPr>
      <t>Sulfentrazone 50%</t>
    </r>
    <r>
      <rPr>
        <sz val="10"/>
        <rFont val="Arial"/>
        <family val="2"/>
      </rPr>
      <t>)</t>
    </r>
  </si>
  <si>
    <r>
      <t>Herbicida- Vortice (</t>
    </r>
    <r>
      <rPr>
        <sz val="10"/>
        <color rgb="FF7030A0"/>
        <rFont val="Arial"/>
        <family val="2"/>
      </rPr>
      <t>Metribuzin 48%</t>
    </r>
    <r>
      <rPr>
        <sz val="10"/>
        <rFont val="Arial"/>
        <family val="2"/>
      </rPr>
      <t>)</t>
    </r>
  </si>
  <si>
    <r>
      <t>Herbicida- Terbyne (</t>
    </r>
    <r>
      <rPr>
        <sz val="10"/>
        <color rgb="FF7030A0"/>
        <rFont val="Arial"/>
        <family val="2"/>
      </rPr>
      <t>Terbutilazina 50%</t>
    </r>
    <r>
      <rPr>
        <sz val="10"/>
        <rFont val="Arial"/>
        <family val="2"/>
      </rPr>
      <t xml:space="preserve">) </t>
    </r>
  </si>
  <si>
    <r>
      <t xml:space="preserve">Herbicida- </t>
    </r>
    <r>
      <rPr>
        <sz val="10"/>
        <color theme="9" tint="-0.249977111117893"/>
        <rFont val="Arial"/>
        <family val="2"/>
      </rPr>
      <t>Trifluralina 60%</t>
    </r>
    <r>
      <rPr>
        <sz val="10"/>
        <rFont val="Arial"/>
        <family val="2"/>
      </rPr>
      <t>.</t>
    </r>
  </si>
  <si>
    <r>
      <t xml:space="preserve">Herbicida- </t>
    </r>
    <r>
      <rPr>
        <sz val="10"/>
        <color rgb="FF7030A0"/>
        <rFont val="Arial"/>
        <family val="2"/>
      </rPr>
      <t>Atrazina 90%</t>
    </r>
  </si>
  <si>
    <r>
      <t>Herbicida- Ceomax 84 (</t>
    </r>
    <r>
      <rPr>
        <sz val="10"/>
        <color theme="5" tint="-0.249977111117893"/>
        <rFont val="Arial"/>
        <family val="2"/>
      </rPr>
      <t>Diclosulam 84%</t>
    </r>
    <r>
      <rPr>
        <sz val="10"/>
        <rFont val="Arial"/>
        <family val="2"/>
      </rPr>
      <t>)</t>
    </r>
  </si>
  <si>
    <r>
      <t xml:space="preserve">Herbicida- </t>
    </r>
    <r>
      <rPr>
        <sz val="10"/>
        <color theme="5" tint="-0.249977111117893"/>
        <rFont val="Arial"/>
        <family val="2"/>
      </rPr>
      <t>Metsulfuron ACA 60%</t>
    </r>
  </si>
  <si>
    <r>
      <t>Herbicida- Percutor (</t>
    </r>
    <r>
      <rPr>
        <sz val="10"/>
        <color theme="5" tint="-0.249977111117893"/>
        <rFont val="Arial"/>
        <family val="2"/>
      </rPr>
      <t>Iodosufuron 6%</t>
    </r>
    <r>
      <rPr>
        <sz val="10"/>
        <rFont val="Arial"/>
        <family val="2"/>
      </rPr>
      <t xml:space="preserve"> +</t>
    </r>
    <r>
      <rPr>
        <sz val="10"/>
        <color theme="5" tint="-0.249977111117893"/>
        <rFont val="Arial"/>
        <family val="2"/>
      </rPr>
      <t xml:space="preserve"> Thiencarbazone 45%</t>
    </r>
    <r>
      <rPr>
        <sz val="10"/>
        <rFont val="Arial"/>
        <family val="2"/>
      </rPr>
      <t>)</t>
    </r>
  </si>
  <si>
    <r>
      <t>Herbicida- Ligate (</t>
    </r>
    <r>
      <rPr>
        <sz val="10"/>
        <color theme="5" tint="-0.249977111117893"/>
        <rFont val="Arial"/>
        <family val="2"/>
      </rPr>
      <t>Sulfometurón Metil 15% + Clorimuron 20%</t>
    </r>
    <r>
      <rPr>
        <sz val="10"/>
        <rFont val="Arial"/>
        <family val="2"/>
      </rPr>
      <t>)</t>
    </r>
  </si>
  <si>
    <r>
      <t>Herbicida- Finesse (</t>
    </r>
    <r>
      <rPr>
        <sz val="10"/>
        <color theme="5" tint="-0.249977111117893"/>
        <rFont val="Arial"/>
        <family val="2"/>
      </rPr>
      <t>Clorsulfuron 62,5% + Metsulfuron 12,5%</t>
    </r>
    <r>
      <rPr>
        <sz val="10"/>
        <rFont val="Arial"/>
        <family val="2"/>
      </rPr>
      <t>)</t>
    </r>
  </si>
  <si>
    <r>
      <t>Herbicida- Adengo (</t>
    </r>
    <r>
      <rPr>
        <sz val="10"/>
        <color rgb="FF00B050"/>
        <rFont val="Arial"/>
        <family val="2"/>
      </rPr>
      <t>Isoxaflutole 9%</t>
    </r>
    <r>
      <rPr>
        <sz val="10"/>
        <rFont val="Arial"/>
        <family val="2"/>
      </rPr>
      <t xml:space="preserve"> + </t>
    </r>
    <r>
      <rPr>
        <sz val="10"/>
        <color theme="5" tint="-0.249977111117893"/>
        <rFont val="Arial"/>
        <family val="2"/>
      </rPr>
      <t xml:space="preserve">Thiencarbazone metil 22,5% </t>
    </r>
    <r>
      <rPr>
        <sz val="10"/>
        <rFont val="Arial"/>
        <family val="2"/>
      </rPr>
      <t>+</t>
    </r>
    <r>
      <rPr>
        <sz val="10"/>
        <color theme="5" tint="-0.249977111117893"/>
        <rFont val="Arial"/>
        <family val="2"/>
      </rPr>
      <t xml:space="preserve"> Cyprosulfamide 15%</t>
    </r>
    <r>
      <rPr>
        <sz val="10"/>
        <rFont val="Arial"/>
        <family val="2"/>
      </rPr>
      <t>)</t>
    </r>
  </si>
  <si>
    <r>
      <t>Herbicida- Imizet (</t>
    </r>
    <r>
      <rPr>
        <sz val="10"/>
        <color theme="5" tint="-0.249977111117893"/>
        <rFont val="Arial"/>
        <family val="2"/>
      </rPr>
      <t>Imazetapyr 10%</t>
    </r>
    <r>
      <rPr>
        <sz val="10"/>
        <rFont val="Arial"/>
        <family val="2"/>
      </rPr>
      <t>)</t>
    </r>
  </si>
  <si>
    <r>
      <t>Herbicida- Super Estrella II (</t>
    </r>
    <r>
      <rPr>
        <sz val="10"/>
        <color theme="0" tint="-0.499984740745262"/>
        <rFont val="Arial"/>
        <family val="2"/>
      </rPr>
      <t>Glifosato 65%</t>
    </r>
    <r>
      <rPr>
        <sz val="10"/>
        <rFont val="Arial"/>
        <family val="2"/>
      </rPr>
      <t>)</t>
    </r>
  </si>
  <si>
    <r>
      <t>Herbicida- Super Estrella GR (</t>
    </r>
    <r>
      <rPr>
        <sz val="10"/>
        <color theme="0" tint="-0.499984740745262"/>
        <rFont val="Arial"/>
        <family val="2"/>
      </rPr>
      <t>Glifosato 79,2%</t>
    </r>
    <r>
      <rPr>
        <sz val="10"/>
        <rFont val="Arial"/>
        <family val="2"/>
      </rPr>
      <t>)</t>
    </r>
  </si>
  <si>
    <t>Fertilizante- Solmix 80-20</t>
  </si>
  <si>
    <r>
      <t>Herbicida- Resolutor (</t>
    </r>
    <r>
      <rPr>
        <sz val="10"/>
        <color rgb="FF00B0F0"/>
        <rFont val="Arial"/>
        <family val="2"/>
      </rPr>
      <t>Cletodim 24%</t>
    </r>
    <r>
      <rPr>
        <sz val="10"/>
        <rFont val="Arial"/>
        <family val="2"/>
      </rPr>
      <t>)</t>
    </r>
  </si>
  <si>
    <r>
      <t>Herbicida- Legado pro- (</t>
    </r>
    <r>
      <rPr>
        <sz val="10"/>
        <color rgb="FF00B0F0"/>
        <rFont val="Arial"/>
        <family val="2"/>
      </rPr>
      <t>Haloxifop 54%</t>
    </r>
    <r>
      <rPr>
        <sz val="10"/>
        <rFont val="Arial"/>
        <family val="2"/>
      </rPr>
      <t>)</t>
    </r>
  </si>
  <si>
    <r>
      <t>Herbicida- Dicamax (</t>
    </r>
    <r>
      <rPr>
        <sz val="10"/>
        <color rgb="FFFF00FF"/>
        <rFont val="Arial"/>
        <family val="2"/>
      </rPr>
      <t>Dicamba 58%</t>
    </r>
    <r>
      <rPr>
        <sz val="10"/>
        <rFont val="Arial"/>
        <family val="2"/>
      </rPr>
      <t>)</t>
    </r>
  </si>
  <si>
    <r>
      <t>Herbicida- 2,4 D Excel 89 (</t>
    </r>
    <r>
      <rPr>
        <sz val="10"/>
        <color rgb="FFFF00FF"/>
        <rFont val="Arial"/>
        <family val="2"/>
      </rPr>
      <t>2,4 D: éster 2-etilhexílico 89%</t>
    </r>
    <r>
      <rPr>
        <sz val="10"/>
        <rFont val="Arial"/>
        <family val="2"/>
      </rPr>
      <t>)</t>
    </r>
  </si>
  <si>
    <r>
      <t>Herbicida- 2,4 D Enlist (</t>
    </r>
    <r>
      <rPr>
        <sz val="10"/>
        <color rgb="FFFF00FF"/>
        <rFont val="Arial"/>
        <family val="2"/>
      </rPr>
      <t>2,4 D: sal colina 66,9%</t>
    </r>
    <r>
      <rPr>
        <sz val="10"/>
        <rFont val="Arial"/>
        <family val="2"/>
      </rPr>
      <t>)</t>
    </r>
  </si>
  <si>
    <r>
      <t>Herbicida- 2,4 D Herbifen Advance (</t>
    </r>
    <r>
      <rPr>
        <sz val="10"/>
        <color rgb="FFFF00FF"/>
        <rFont val="Arial"/>
        <family val="2"/>
      </rPr>
      <t>2,4 D: éster 2-etilhexilico 97%</t>
    </r>
    <r>
      <rPr>
        <sz val="10"/>
        <rFont val="Arial"/>
        <family val="2"/>
      </rPr>
      <t>)</t>
    </r>
  </si>
  <si>
    <r>
      <t>Herbicida- Adjeva (</t>
    </r>
    <r>
      <rPr>
        <sz val="10"/>
        <color rgb="FFFF3300"/>
        <rFont val="Arial"/>
        <family val="2"/>
      </rPr>
      <t>Saflufenacil 70%</t>
    </r>
    <r>
      <rPr>
        <sz val="10"/>
        <rFont val="Arial"/>
        <family val="2"/>
      </rPr>
      <t xml:space="preserve">) </t>
    </r>
  </si>
  <si>
    <r>
      <t>Herbicida- Affinity (</t>
    </r>
    <r>
      <rPr>
        <sz val="10"/>
        <color rgb="FFFF3300"/>
        <rFont val="Arial"/>
        <family val="2"/>
      </rPr>
      <t>Carfentrazone 40%</t>
    </r>
    <r>
      <rPr>
        <sz val="10"/>
        <rFont val="Arial"/>
        <family val="2"/>
      </rPr>
      <t>)</t>
    </r>
  </si>
  <si>
    <r>
      <t>Herbicida- Picloran ACA (</t>
    </r>
    <r>
      <rPr>
        <sz val="10"/>
        <color rgb="FFFF00FF"/>
        <rFont val="Arial"/>
        <family val="2"/>
      </rPr>
      <t>Picloran 24%</t>
    </r>
    <r>
      <rPr>
        <sz val="10"/>
        <rFont val="Arial"/>
        <family val="2"/>
      </rPr>
      <t>)</t>
    </r>
  </si>
  <si>
    <t xml:space="preserve">Herbicida- Prominens (Glufosinato 20%) </t>
  </si>
  <si>
    <r>
      <t>Herbicida-  (</t>
    </r>
    <r>
      <rPr>
        <sz val="10"/>
        <color rgb="FFFF00FF"/>
        <rFont val="Arial"/>
        <family val="2"/>
      </rPr>
      <t>Fluroxypyr 48%</t>
    </r>
    <r>
      <rPr>
        <sz val="10"/>
        <rFont val="Arial"/>
        <family val="2"/>
      </rPr>
      <t xml:space="preserve">) </t>
    </r>
  </si>
  <si>
    <r>
      <t>Herbicida-  (</t>
    </r>
    <r>
      <rPr>
        <sz val="10"/>
        <color rgb="FFFF00FF"/>
        <rFont val="Arial"/>
        <family val="2"/>
      </rPr>
      <t>Clopyralid 47,5%</t>
    </r>
    <r>
      <rPr>
        <sz val="10"/>
        <rFont val="Arial"/>
        <family val="2"/>
      </rPr>
      <t xml:space="preserve">) </t>
    </r>
  </si>
  <si>
    <r>
      <t>Herbicida- Dogo (</t>
    </r>
    <r>
      <rPr>
        <sz val="10"/>
        <color rgb="FFCC99FF"/>
        <rFont val="Arial"/>
        <family val="2"/>
      </rPr>
      <t>Paraquat 27,6%</t>
    </r>
    <r>
      <rPr>
        <sz val="10"/>
        <rFont val="Arial"/>
        <family val="2"/>
      </rPr>
      <t>)</t>
    </r>
  </si>
  <si>
    <r>
      <t>Herbicida- Antiz (</t>
    </r>
    <r>
      <rPr>
        <sz val="10"/>
        <color rgb="FFFF3300"/>
        <rFont val="Arial"/>
        <family val="2"/>
      </rPr>
      <t>Fomesafen 25%</t>
    </r>
    <r>
      <rPr>
        <sz val="10"/>
        <rFont val="Arial"/>
        <family val="2"/>
      </rPr>
      <t xml:space="preserve">) </t>
    </r>
  </si>
  <si>
    <r>
      <t>Herbicida- (</t>
    </r>
    <r>
      <rPr>
        <sz val="10"/>
        <color rgb="FFFF3300"/>
        <rFont val="Arial"/>
        <family val="2"/>
      </rPr>
      <t>Lactofen 24%</t>
    </r>
    <r>
      <rPr>
        <sz val="10"/>
        <rFont val="Arial"/>
        <family val="2"/>
      </rPr>
      <t>)</t>
    </r>
  </si>
  <si>
    <r>
      <t>Herbicida- Moench (</t>
    </r>
    <r>
      <rPr>
        <sz val="10"/>
        <color rgb="FFFF00FF"/>
        <rFont val="Arial"/>
        <family val="2"/>
      </rPr>
      <t>Benazolin 50%</t>
    </r>
    <r>
      <rPr>
        <sz val="10"/>
        <rFont val="Arial"/>
        <family val="2"/>
      </rPr>
      <t>)</t>
    </r>
  </si>
  <si>
    <r>
      <t>Herbicida- Sivelor (</t>
    </r>
    <r>
      <rPr>
        <sz val="10"/>
        <color rgb="FF00B050"/>
        <rFont val="Arial"/>
        <family val="2"/>
      </rPr>
      <t>Topramezone 33,6%</t>
    </r>
    <r>
      <rPr>
        <sz val="10"/>
        <rFont val="Arial"/>
        <family val="2"/>
      </rPr>
      <t>)</t>
    </r>
  </si>
  <si>
    <r>
      <t>Herbicida- Interfield (</t>
    </r>
    <r>
      <rPr>
        <sz val="10"/>
        <color theme="5" tint="-0.249977111117893"/>
        <rFont val="Arial"/>
        <family val="2"/>
      </rPr>
      <t>Imazetapir 52.5% Imazapir 17.5%</t>
    </r>
    <r>
      <rPr>
        <sz val="10"/>
        <rFont val="Arial"/>
        <family val="2"/>
      </rPr>
      <t>)</t>
    </r>
  </si>
  <si>
    <r>
      <t>Herbicida- Onduty (</t>
    </r>
    <r>
      <rPr>
        <sz val="10"/>
        <color theme="5" tint="-0.249977111117893"/>
        <rFont val="Arial"/>
        <family val="2"/>
      </rPr>
      <t>Imazapic 52,5% + imazapir 17,5%</t>
    </r>
    <r>
      <rPr>
        <sz val="10"/>
        <color rgb="FF333333"/>
        <rFont val="Arial"/>
        <family val="2"/>
      </rPr>
      <t>)</t>
    </r>
  </si>
  <si>
    <r>
      <t>Herbicida- Primero 75 (</t>
    </r>
    <r>
      <rPr>
        <sz val="10"/>
        <color theme="5" tint="-0.249977111117893"/>
        <rFont val="Arial"/>
        <family val="2"/>
      </rPr>
      <t>Nicosulfuron 75%</t>
    </r>
    <r>
      <rPr>
        <sz val="10"/>
        <rFont val="Arial"/>
        <family val="2"/>
      </rPr>
      <t>)</t>
    </r>
  </si>
  <si>
    <t>Mecanismo/s de acción</t>
  </si>
  <si>
    <t>aCCasa</t>
  </si>
  <si>
    <t>ALS</t>
  </si>
  <si>
    <t>Fotosistema II</t>
  </si>
  <si>
    <t>Fotosistema I</t>
  </si>
  <si>
    <t>PPO</t>
  </si>
  <si>
    <t>HPPD</t>
  </si>
  <si>
    <t>Inhibidor de la acetil coenzima A carboxilasa</t>
  </si>
  <si>
    <t>Inhibidor de la acetolactato sintasa</t>
  </si>
  <si>
    <t>Inhibidor de la fotosíntesis a nivel del fotosistema dos</t>
  </si>
  <si>
    <t>Inhibidor de la fotosíntesis a nivel del fotosistema uno</t>
  </si>
  <si>
    <t>Inhibidor de protoporfirinógeno oxidasa</t>
  </si>
  <si>
    <t>Inh. Pig. Car. (4 hidroxifenil piruvato dioxigenasa)</t>
  </si>
  <si>
    <t>EPSPS</t>
  </si>
  <si>
    <t>Inhibidor de la enol piruvil shikimato 3 fosfato sintasa</t>
  </si>
  <si>
    <t>Inhibidor de la glutamino sintetasa</t>
  </si>
  <si>
    <t>Inh. Glut. Sint.</t>
  </si>
  <si>
    <t>Inhibidor de la división celular</t>
  </si>
  <si>
    <t>Inh. Div. Cel.</t>
  </si>
  <si>
    <t>Acción similar al ácido indolacético</t>
  </si>
  <si>
    <t>Hormonal</t>
  </si>
  <si>
    <t>Curasemilla Maxim RFC (soja)</t>
  </si>
  <si>
    <t>Herbicida- Affinity (Carfentrazone 40%)</t>
  </si>
  <si>
    <t>Unidad de medida por dosis</t>
  </si>
  <si>
    <t>Valor unitario</t>
  </si>
  <si>
    <t>U$D/Unidad</t>
  </si>
  <si>
    <t>Lts/Ha</t>
  </si>
  <si>
    <t>Herbicida- Finesse (Clorsulfuron 62,5% + Metsulfuron 12,5%)</t>
  </si>
  <si>
    <t>Kg/Ha.</t>
  </si>
  <si>
    <t>Lts/Ha.</t>
  </si>
  <si>
    <t>grs./Ha.</t>
  </si>
  <si>
    <t>Dosis/Ha.</t>
  </si>
  <si>
    <t>bls./Ha.</t>
  </si>
  <si>
    <t>Aplicaciones</t>
  </si>
  <si>
    <t>U$S/Dosis</t>
  </si>
  <si>
    <t>U$S/Lts.</t>
  </si>
  <si>
    <t>U$S/Kg.</t>
  </si>
  <si>
    <t>U$S/Ha.</t>
  </si>
  <si>
    <t>Herbicida- 2,4 D Excel 89 (2,4 D: éster 2-etilhexílico 89%)</t>
  </si>
  <si>
    <t>Herbicida- Super Estrella II (Glifosato 65%)</t>
  </si>
  <si>
    <t>Herbicida- Dicamax (Dicamba 58%)</t>
  </si>
  <si>
    <t xml:space="preserve">Herbicida- Adjeva (Saflufenacil 70%) </t>
  </si>
  <si>
    <t>Herbicida- Saltum (Sulfentrazone 50%)</t>
  </si>
  <si>
    <t>Herbicida- Yamato Top (Pyroxasulfone 48%)</t>
  </si>
  <si>
    <t>Herbicida- Resolutor (Cletodim 24%)</t>
  </si>
  <si>
    <t>Herbicida- Legado pro- (Haloxifop 54%)</t>
  </si>
  <si>
    <t>Herbicida- Super Estrella GR (Glifosato 79,2%)</t>
  </si>
  <si>
    <t>Herbicida- Percutor (Iodosufuron 6% + Thiencarbazone 45%)</t>
  </si>
  <si>
    <t>Herbicida- Fierce (Flumioxazin 15% + Pyroxasulfone 34,5%)</t>
  </si>
  <si>
    <t>Herbicida- 2,4 D Enlist (2,4 D: sal colina 66,9%)</t>
  </si>
  <si>
    <t>Herbicida- Sivelor (Topramezone 33,6%)</t>
  </si>
  <si>
    <t>Herbicida- Atrazina 90%</t>
  </si>
  <si>
    <t>Herbicida- Vortice (Metribuzin 48%)</t>
  </si>
  <si>
    <t>Sub-Total SEMILLAS</t>
  </si>
  <si>
    <t xml:space="preserve">Herbicida- Terbyne (Terbutilazina 50%) </t>
  </si>
  <si>
    <t>Trigo-Soja 2da</t>
  </si>
  <si>
    <t>Trigo-Maíz 2da</t>
  </si>
  <si>
    <t>Equilibrio 25-26 :</t>
  </si>
  <si>
    <t>Herbicida- Trifluralina 60%.</t>
  </si>
  <si>
    <t>Herbicida- Dogo (Paraquat 27,6%)</t>
  </si>
  <si>
    <t>Herbicida- Cadre 70 DG (Imazapic 70%)</t>
  </si>
  <si>
    <t>CAMELINA - Margen Bruto</t>
  </si>
  <si>
    <t>Camelina-Soja 2da</t>
  </si>
  <si>
    <t>Camelina forwad</t>
  </si>
  <si>
    <r>
      <t>Herbicida- (</t>
    </r>
    <r>
      <rPr>
        <sz val="10"/>
        <color rgb="FFCC99FF"/>
        <rFont val="Arial"/>
        <family val="2"/>
      </rPr>
      <t>Diquat 20%</t>
    </r>
    <r>
      <rPr>
        <sz val="10"/>
        <rFont val="Arial"/>
        <family val="2"/>
      </rPr>
      <t>)</t>
    </r>
  </si>
  <si>
    <t>Herbicida- (Diquat 20%)</t>
  </si>
  <si>
    <t>Semilla Camelina</t>
  </si>
  <si>
    <t>Sub-Total SEMILLA</t>
  </si>
  <si>
    <t>en qq. Camelina</t>
  </si>
  <si>
    <t xml:space="preserve">Camelina-Soja </t>
  </si>
  <si>
    <t>qq. Camelina</t>
  </si>
  <si>
    <t>Herbicida- Margen pro (S-Metolacloro 96%)</t>
  </si>
  <si>
    <t>Margen Bruto 26-27</t>
  </si>
  <si>
    <t>Equilibrio 26-27 :</t>
  </si>
  <si>
    <t>Sorgo forwad</t>
  </si>
  <si>
    <t>Flete 26-27 (por qq.)</t>
  </si>
  <si>
    <t>Sorgo</t>
  </si>
  <si>
    <t>SORGO - Margen Bruto</t>
  </si>
  <si>
    <t>Herbicida- Imizet (Imazetapyr 10%)</t>
  </si>
  <si>
    <t>Semilla Sorgo</t>
  </si>
  <si>
    <t>Siembra Sorgo (c/ fertilizac. simple)</t>
  </si>
  <si>
    <t>qq. Sorgo</t>
  </si>
  <si>
    <t>en U$D. X Ha.</t>
  </si>
  <si>
    <t>Camelina</t>
  </si>
  <si>
    <t>Fertilizante- SPT</t>
  </si>
  <si>
    <r>
      <t>Herbicida- Cadre 70 DG (</t>
    </r>
    <r>
      <rPr>
        <sz val="10"/>
        <color theme="5" tint="-0.249977111117893"/>
        <rFont val="Arial"/>
        <family val="2"/>
      </rPr>
      <t>Imazapic 70%</t>
    </r>
    <r>
      <rPr>
        <sz val="10"/>
        <color rgb="FF333333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</si>
</sst>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5">
    <numFmt numFmtId="164" formatCode="[$$-2C0A]\ #,##0;[$$-2C0A]\ \-#,##0"/>
    <numFmt numFmtId="165" formatCode="0.0"/>
    <numFmt numFmtId="166" formatCode="_ * #,##0.00_ ;_ * \-#,##0.00_ ;_ * &quot;-&quot;??_ ;_ @_ "/>
    <numFmt numFmtId="167" formatCode="_ &quot;$&quot;\ * #,##0_ ;_ &quot;$&quot;\ * \-#,##0_ ;_ &quot;$&quot;\ * &quot;-&quot;??_ ;_ @_ "/>
    <numFmt numFmtId="168" formatCode="_ * #,##0.0_ ;_ * \-#,##0.0_ ;_ * &quot;-&quot;??_ ;_ @_ "/>
    <numFmt numFmtId="169" formatCode="_ &quot;$&quot;\ * #,##0.00_ ;_ &quot;$&quot;\ * \-#,##0.00_ ;_ &quot;$&quot;\ * &quot;-&quot;??_ ;_ @_ "/>
    <numFmt numFmtId="170" formatCode="_ * #,##0.000_ ;_ * \-#,##0.000_ ;_ * &quot;-&quot;??_ ;_ @_ "/>
    <numFmt numFmtId="171" formatCode="_ * #,##0_ ;_ * \-#,##0_ ;_ * &quot;-&quot;??_ ;_ @_ "/>
    <numFmt numFmtId="172" formatCode="0.0%"/>
    <numFmt numFmtId="173" formatCode="[$$U-380A]\ #,##0_ ;\-[$$U-380A]\ #,##0\ "/>
    <numFmt numFmtId="174" formatCode="#,##0.00_ ;\-#,##0.00\ "/>
    <numFmt numFmtId="175" formatCode="_ [$$-2C0A]\ * #,##0_ ;_ [$$-2C0A]\ * \-#,##0_ ;_ [$$-2C0A]\ * &quot;-&quot;??_ ;_ @_ "/>
    <numFmt numFmtId="176" formatCode="_ [$$-2C0A]\ * #,##0.00_ ;_ [$$-2C0A]\ * \-#,##0.00_ ;_ [$$-2C0A]\ * &quot;-&quot;??_ ;_ @_ "/>
    <numFmt numFmtId="177" formatCode="#,##0_ ;\-#,##0\ "/>
    <numFmt numFmtId="178" formatCode="#,##0.0_ ;\-#,##0.0\ "/>
    <numFmt numFmtId="179" formatCode="[$$U-380A]\ #,##0.0_ ;\-[$$U-380A]\ #,##0.0\ "/>
    <numFmt numFmtId="180" formatCode="&quot;$&quot;\ #,##0;\-&quot;$&quot;#,##0"/>
    <numFmt numFmtId="181" formatCode="[$USD]\ #,##0"/>
    <numFmt numFmtId="182" formatCode="[$$-2C0A]\ #,##0"/>
    <numFmt numFmtId="183" formatCode="_(* #,##0_);_(* \(#,##0\);_(* &quot;-&quot;??_);_(@_)"/>
    <numFmt numFmtId="184" formatCode="_(&quot;$&quot;* #,##0_);_(&quot;$&quot;* \(#,##0\);_(&quot;$&quot;* &quot;-&quot;??_);_(@_)"/>
    <numFmt numFmtId="185" formatCode="_-[$$-2C0A]\ * #,##0_-;\-[$$-2C0A]\ * #,##0_-;_-[$$-2C0A]\ * &quot;-&quot;??_-;_-@_-"/>
    <numFmt numFmtId="186" formatCode="[$USD]\ #,##0;\-[$USD]\ #,##0"/>
    <numFmt numFmtId="187" formatCode="_-&quot;$&quot;\ * #,##0_-;\-&quot;$&quot;\ * #,##0_-;_-&quot;$&quot;\ * &quot;-&quot;??_-;_-@_-"/>
    <numFmt numFmtId="188" formatCode="&quot;$&quot;\ #,##0"/>
  </numFmts>
  <fonts count="262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20"/>
      <name val="Arial"/>
      <family val="2"/>
    </font>
    <font>
      <b/>
      <sz val="22"/>
      <name val="Tahoma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12"/>
      <name val="Arial"/>
      <family val="2"/>
    </font>
    <font>
      <b/>
      <sz val="12"/>
      <color indexed="9"/>
      <name val="Arial"/>
      <family val="2"/>
    </font>
    <font>
      <sz val="10"/>
      <color indexed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1"/>
      <color indexed="9"/>
      <name val="Arial"/>
      <family val="2"/>
    </font>
    <font>
      <b/>
      <sz val="14"/>
      <color indexed="9"/>
      <name val="Arial"/>
      <family val="2"/>
    </font>
    <font>
      <sz val="10"/>
      <color indexed="22"/>
      <name val="Arial"/>
      <family val="2"/>
    </font>
    <font>
      <b/>
      <i/>
      <sz val="11"/>
      <name val="Arial"/>
      <family val="2"/>
    </font>
    <font>
      <i/>
      <sz val="11"/>
      <name val="Arial"/>
      <family val="2"/>
    </font>
    <font>
      <b/>
      <sz val="22"/>
      <color indexed="9"/>
      <name val="Tahoma"/>
      <family val="2"/>
    </font>
    <font>
      <sz val="10"/>
      <color indexed="62"/>
      <name val="Arial"/>
      <family val="2"/>
    </font>
    <font>
      <b/>
      <i/>
      <sz val="10"/>
      <color indexed="23"/>
      <name val="Arial"/>
      <family val="2"/>
    </font>
    <font>
      <sz val="10"/>
      <color indexed="23"/>
      <name val="Arial"/>
      <family val="2"/>
    </font>
    <font>
      <b/>
      <i/>
      <sz val="11"/>
      <color indexed="17"/>
      <name val="Arial"/>
      <family val="2"/>
    </font>
    <font>
      <sz val="10"/>
      <color indexed="17"/>
      <name val="Arial"/>
      <family val="2"/>
    </font>
    <font>
      <b/>
      <sz val="22"/>
      <color indexed="8"/>
      <name val="Tahoma"/>
      <family val="2"/>
    </font>
    <font>
      <b/>
      <i/>
      <sz val="12"/>
      <color indexed="17"/>
      <name val="Arial"/>
      <family val="2"/>
    </font>
    <font>
      <sz val="12"/>
      <color indexed="9"/>
      <name val="Arial"/>
      <family val="2"/>
    </font>
    <font>
      <b/>
      <i/>
      <sz val="10"/>
      <color indexed="17"/>
      <name val="Arial"/>
      <family val="2"/>
    </font>
    <font>
      <sz val="12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b/>
      <i/>
      <sz val="10"/>
      <color indexed="9"/>
      <name val="Arial"/>
      <family val="2"/>
    </font>
    <font>
      <sz val="11"/>
      <color indexed="9"/>
      <name val="Arial"/>
      <family val="2"/>
    </font>
    <font>
      <b/>
      <sz val="13"/>
      <color indexed="8"/>
      <name val="Arial"/>
      <family val="2"/>
    </font>
    <font>
      <b/>
      <sz val="12"/>
      <color indexed="8"/>
      <name val="Arial"/>
      <family val="2"/>
    </font>
    <font>
      <b/>
      <i/>
      <sz val="12"/>
      <color indexed="8"/>
      <name val="Arial"/>
      <family val="2"/>
    </font>
    <font>
      <b/>
      <sz val="12"/>
      <color indexed="9"/>
      <name val="Arial"/>
      <family val="2"/>
    </font>
    <font>
      <sz val="12"/>
      <color indexed="9"/>
      <name val="Arial"/>
      <family val="2"/>
    </font>
    <font>
      <sz val="14"/>
      <color indexed="8"/>
      <name val="Arial"/>
      <family val="2"/>
    </font>
    <font>
      <sz val="12"/>
      <name val="Calibri"/>
      <family val="2"/>
    </font>
    <font>
      <sz val="11"/>
      <name val="Calibri"/>
      <family val="2"/>
    </font>
    <font>
      <i/>
      <sz val="10"/>
      <name val="Calibri"/>
      <family val="2"/>
    </font>
    <font>
      <sz val="10"/>
      <name val="Calibri"/>
      <family val="2"/>
    </font>
    <font>
      <b/>
      <i/>
      <sz val="12"/>
      <name val="Calibri"/>
      <family val="2"/>
    </font>
    <font>
      <i/>
      <sz val="11"/>
      <name val="Calibri"/>
      <family val="2"/>
    </font>
    <font>
      <b/>
      <i/>
      <sz val="14"/>
      <name val="Calibri"/>
      <family val="2"/>
    </font>
    <font>
      <b/>
      <sz val="14"/>
      <name val="Calibri"/>
      <family val="2"/>
    </font>
    <font>
      <b/>
      <sz val="12"/>
      <name val="Calibri"/>
      <family val="2"/>
    </font>
    <font>
      <b/>
      <i/>
      <sz val="13"/>
      <name val="Calibri"/>
      <family val="2"/>
    </font>
    <font>
      <sz val="12"/>
      <color indexed="9"/>
      <name val="Calibri"/>
      <family val="2"/>
    </font>
    <font>
      <b/>
      <sz val="13"/>
      <color indexed="9"/>
      <name val="Arial"/>
      <family val="2"/>
    </font>
    <font>
      <b/>
      <i/>
      <sz val="18"/>
      <color indexed="9"/>
      <name val="Calibri"/>
      <family val="2"/>
    </font>
    <font>
      <b/>
      <sz val="10"/>
      <name val="Calibri"/>
      <family val="2"/>
    </font>
    <font>
      <sz val="10"/>
      <color indexed="23"/>
      <name val="Arial"/>
      <family val="2"/>
    </font>
    <font>
      <b/>
      <i/>
      <sz val="10"/>
      <color indexed="23"/>
      <name val="Arial"/>
      <family val="2"/>
    </font>
    <font>
      <b/>
      <i/>
      <sz val="12"/>
      <color indexed="17"/>
      <name val="Calibri"/>
      <family val="2"/>
    </font>
    <font>
      <b/>
      <sz val="12"/>
      <color indexed="17"/>
      <name val="Calibri"/>
      <family val="2"/>
    </font>
    <font>
      <b/>
      <i/>
      <sz val="14"/>
      <color indexed="9"/>
      <name val="Calibri"/>
      <family val="2"/>
    </font>
    <font>
      <sz val="13"/>
      <color indexed="8"/>
      <name val="Calibri"/>
      <family val="2"/>
    </font>
    <font>
      <sz val="12"/>
      <color indexed="8"/>
      <name val="Calibri"/>
      <family val="2"/>
    </font>
    <font>
      <b/>
      <u val="singleAccounting"/>
      <sz val="12"/>
      <color indexed="8"/>
      <name val="Calibri"/>
      <family val="2"/>
    </font>
    <font>
      <u/>
      <sz val="12"/>
      <color indexed="8"/>
      <name val="Calibri"/>
      <family val="2"/>
    </font>
    <font>
      <b/>
      <sz val="12"/>
      <color indexed="8"/>
      <name val="Calibri"/>
      <family val="2"/>
    </font>
    <font>
      <i/>
      <sz val="11"/>
      <color indexed="8"/>
      <name val="Calibri"/>
      <family val="2"/>
    </font>
    <font>
      <b/>
      <i/>
      <sz val="12"/>
      <color indexed="9"/>
      <name val="Calibri"/>
      <family val="2"/>
    </font>
    <font>
      <sz val="10"/>
      <color indexed="23"/>
      <name val="Calibri"/>
      <family val="2"/>
    </font>
    <font>
      <b/>
      <sz val="12"/>
      <color indexed="28"/>
      <name val="Calibri"/>
      <family val="2"/>
    </font>
    <font>
      <sz val="12"/>
      <color indexed="28"/>
      <name val="Calibri"/>
      <family val="2"/>
    </font>
    <font>
      <b/>
      <sz val="12"/>
      <color indexed="9"/>
      <name val="Calibri"/>
      <family val="2"/>
    </font>
    <font>
      <sz val="12"/>
      <color indexed="9"/>
      <name val="Calibri"/>
      <family val="2"/>
    </font>
    <font>
      <b/>
      <i/>
      <sz val="13"/>
      <color indexed="17"/>
      <name val="Arial"/>
      <family val="2"/>
    </font>
    <font>
      <i/>
      <sz val="12"/>
      <color indexed="8"/>
      <name val="Calibri"/>
      <family val="2"/>
    </font>
    <font>
      <b/>
      <i/>
      <sz val="13"/>
      <color indexed="10"/>
      <name val="Calibri"/>
      <family val="2"/>
    </font>
    <font>
      <sz val="12"/>
      <color indexed="10"/>
      <name val="Calibri"/>
      <family val="2"/>
    </font>
    <font>
      <i/>
      <sz val="13"/>
      <color indexed="12"/>
      <name val="Calibri"/>
      <family val="2"/>
    </font>
    <font>
      <b/>
      <i/>
      <sz val="12"/>
      <color indexed="12"/>
      <name val="Calibri"/>
      <family val="2"/>
    </font>
    <font>
      <b/>
      <sz val="12"/>
      <color indexed="12"/>
      <name val="Calibri"/>
      <family val="2"/>
    </font>
    <font>
      <i/>
      <sz val="12"/>
      <name val="Calibri"/>
      <family val="2"/>
    </font>
    <font>
      <b/>
      <i/>
      <sz val="13"/>
      <color indexed="9"/>
      <name val="Calibri"/>
      <family val="2"/>
    </font>
    <font>
      <i/>
      <sz val="12"/>
      <name val="Calibri"/>
      <family val="2"/>
    </font>
    <font>
      <b/>
      <sz val="14"/>
      <color indexed="9"/>
      <name val="Calibri"/>
      <family val="2"/>
    </font>
    <font>
      <b/>
      <i/>
      <sz val="12"/>
      <color indexed="8"/>
      <name val="Calibri"/>
      <family val="2"/>
    </font>
    <font>
      <sz val="10"/>
      <color indexed="23"/>
      <name val="Arial"/>
      <family val="2"/>
    </font>
    <font>
      <b/>
      <sz val="11"/>
      <color indexed="23"/>
      <name val="Arial"/>
      <family val="2"/>
    </font>
    <font>
      <b/>
      <i/>
      <sz val="12"/>
      <color indexed="23"/>
      <name val="Calibri"/>
      <family val="2"/>
    </font>
    <font>
      <b/>
      <sz val="10"/>
      <color indexed="10"/>
      <name val="Arial"/>
      <family val="2"/>
    </font>
    <font>
      <sz val="9"/>
      <name val="Arial"/>
      <family val="2"/>
    </font>
    <font>
      <sz val="10"/>
      <color indexed="23"/>
      <name val="Calibri"/>
      <family val="2"/>
    </font>
    <font>
      <sz val="11"/>
      <color indexed="12"/>
      <name val="Arial"/>
      <family val="2"/>
    </font>
    <font>
      <b/>
      <i/>
      <sz val="11"/>
      <color indexed="53"/>
      <name val="Arial"/>
      <family val="2"/>
    </font>
    <font>
      <sz val="11"/>
      <color indexed="53"/>
      <name val="Arial"/>
      <family val="2"/>
    </font>
    <font>
      <b/>
      <i/>
      <sz val="11"/>
      <color indexed="12"/>
      <name val="Arial"/>
      <family val="2"/>
    </font>
    <font>
      <sz val="11"/>
      <color indexed="12"/>
      <name val="Arial"/>
      <family val="2"/>
    </font>
    <font>
      <b/>
      <i/>
      <sz val="11"/>
      <color indexed="10"/>
      <name val="Arial"/>
      <family val="2"/>
    </font>
    <font>
      <b/>
      <sz val="11"/>
      <color indexed="10"/>
      <name val="Arial"/>
      <family val="2"/>
    </font>
    <font>
      <b/>
      <i/>
      <sz val="11"/>
      <color indexed="12"/>
      <name val="Arial"/>
      <family val="2"/>
    </font>
    <font>
      <b/>
      <sz val="11"/>
      <color indexed="12"/>
      <name val="Arial"/>
      <family val="2"/>
    </font>
    <font>
      <sz val="10"/>
      <color indexed="23"/>
      <name val="Arial"/>
      <family val="2"/>
    </font>
    <font>
      <sz val="10"/>
      <name val="Arial"/>
      <family val="2"/>
    </font>
    <font>
      <b/>
      <i/>
      <sz val="18"/>
      <name val="Arial"/>
      <family val="2"/>
    </font>
    <font>
      <i/>
      <sz val="8"/>
      <name val="Arial"/>
      <family val="2"/>
    </font>
    <font>
      <b/>
      <i/>
      <sz val="12"/>
      <name val="Arial"/>
      <family val="2"/>
    </font>
    <font>
      <i/>
      <sz val="12"/>
      <name val="Arial"/>
      <family val="2"/>
    </font>
    <font>
      <sz val="10"/>
      <name val="Arial"/>
      <family val="2"/>
    </font>
    <font>
      <b/>
      <i/>
      <sz val="11"/>
      <name val="Calibri"/>
      <family val="2"/>
    </font>
    <font>
      <b/>
      <sz val="11"/>
      <name val="Calibri"/>
      <family val="2"/>
    </font>
    <font>
      <b/>
      <i/>
      <sz val="15"/>
      <name val="Calibri"/>
      <family val="2"/>
    </font>
    <font>
      <b/>
      <i/>
      <u/>
      <sz val="12"/>
      <name val="Calibri"/>
      <family val="2"/>
    </font>
    <font>
      <sz val="13"/>
      <name val="Calibri"/>
      <family val="2"/>
    </font>
    <font>
      <sz val="11"/>
      <color indexed="8"/>
      <name val="Calibri"/>
      <family val="2"/>
    </font>
    <font>
      <b/>
      <i/>
      <sz val="11"/>
      <color indexed="9"/>
      <name val="Calibri"/>
      <family val="2"/>
    </font>
    <font>
      <i/>
      <sz val="22"/>
      <name val="Calibri"/>
      <family val="2"/>
    </font>
    <font>
      <sz val="10"/>
      <color indexed="8"/>
      <name val="Calibri"/>
      <family val="2"/>
    </font>
    <font>
      <b/>
      <i/>
      <sz val="22"/>
      <color indexed="9"/>
      <name val="Calibri"/>
      <family val="2"/>
    </font>
    <font>
      <i/>
      <sz val="11"/>
      <color indexed="10"/>
      <name val="Arial"/>
      <family val="2"/>
    </font>
    <font>
      <i/>
      <sz val="10"/>
      <color indexed="23"/>
      <name val="Arial"/>
      <family val="2"/>
    </font>
    <font>
      <b/>
      <i/>
      <sz val="11"/>
      <color indexed="23"/>
      <name val="Arial"/>
      <family val="2"/>
    </font>
    <font>
      <sz val="10"/>
      <color indexed="23"/>
      <name val="Arial"/>
      <family val="2"/>
    </font>
    <font>
      <b/>
      <sz val="12"/>
      <color indexed="10"/>
      <name val="Arial"/>
      <family val="2"/>
    </font>
    <font>
      <sz val="12"/>
      <color indexed="10"/>
      <name val="Arial"/>
      <family val="2"/>
    </font>
    <font>
      <b/>
      <i/>
      <sz val="20"/>
      <color indexed="9"/>
      <name val="Arial"/>
      <family val="2"/>
    </font>
    <font>
      <sz val="10"/>
      <color indexed="9"/>
      <name val="Arial"/>
      <family val="2"/>
    </font>
    <font>
      <b/>
      <i/>
      <sz val="10"/>
      <color indexed="23"/>
      <name val="Calibri"/>
      <family val="2"/>
    </font>
    <font>
      <sz val="10"/>
      <color indexed="55"/>
      <name val="Calibri"/>
      <family val="2"/>
    </font>
    <font>
      <b/>
      <i/>
      <sz val="10"/>
      <color indexed="23"/>
      <name val="Calibri"/>
      <family val="2"/>
    </font>
    <font>
      <b/>
      <sz val="11"/>
      <color indexed="12"/>
      <name val="Calibri"/>
      <family val="2"/>
    </font>
    <font>
      <b/>
      <i/>
      <sz val="11"/>
      <color indexed="10"/>
      <name val="Calibri"/>
      <family val="2"/>
    </font>
    <font>
      <sz val="11"/>
      <color indexed="10"/>
      <name val="Calibri"/>
      <family val="2"/>
    </font>
    <font>
      <b/>
      <i/>
      <sz val="13"/>
      <color indexed="17"/>
      <name val="Calibri"/>
      <family val="2"/>
    </font>
    <font>
      <b/>
      <sz val="13"/>
      <color indexed="17"/>
      <name val="Calibri"/>
      <family val="2"/>
    </font>
    <font>
      <sz val="13"/>
      <color indexed="12"/>
      <name val="Calibri"/>
      <family val="2"/>
    </font>
    <font>
      <b/>
      <i/>
      <sz val="13"/>
      <color indexed="12"/>
      <name val="Calibri"/>
      <family val="2"/>
    </font>
    <font>
      <b/>
      <sz val="12"/>
      <color indexed="12"/>
      <name val="Calibri"/>
      <family val="2"/>
    </font>
    <font>
      <sz val="12"/>
      <color indexed="12"/>
      <name val="Calibri"/>
      <family val="2"/>
    </font>
    <font>
      <i/>
      <sz val="12"/>
      <color indexed="12"/>
      <name val="Calibri"/>
      <family val="2"/>
    </font>
    <font>
      <b/>
      <sz val="12"/>
      <color indexed="17"/>
      <name val="Calibri"/>
      <family val="2"/>
    </font>
    <font>
      <b/>
      <sz val="12"/>
      <color indexed="10"/>
      <name val="Calibri"/>
      <family val="2"/>
    </font>
    <font>
      <b/>
      <i/>
      <sz val="12"/>
      <color indexed="17"/>
      <name val="Calibri"/>
      <family val="2"/>
    </font>
    <font>
      <b/>
      <i/>
      <sz val="12"/>
      <color indexed="10"/>
      <name val="Calibri"/>
      <family val="2"/>
    </font>
    <font>
      <i/>
      <sz val="11"/>
      <color indexed="23"/>
      <name val="Calibri"/>
      <family val="2"/>
    </font>
    <font>
      <b/>
      <sz val="13"/>
      <color indexed="12"/>
      <name val="Calibri"/>
      <family val="2"/>
    </font>
    <font>
      <b/>
      <sz val="14"/>
      <color indexed="12"/>
      <name val="Calibri"/>
      <family val="2"/>
    </font>
    <font>
      <sz val="10"/>
      <color indexed="10"/>
      <name val="Arial"/>
      <family val="2"/>
    </font>
    <font>
      <sz val="12"/>
      <name val="Calibri"/>
      <family val="2"/>
    </font>
    <font>
      <b/>
      <i/>
      <sz val="22"/>
      <name val="Calibri"/>
      <family val="2"/>
    </font>
    <font>
      <u/>
      <sz val="12"/>
      <name val="Calibri"/>
      <family val="2"/>
    </font>
    <font>
      <b/>
      <i/>
      <sz val="12"/>
      <name val="Calibri"/>
      <family val="2"/>
    </font>
    <font>
      <b/>
      <sz val="12"/>
      <name val="Calibri"/>
      <family val="2"/>
    </font>
    <font>
      <sz val="12"/>
      <color indexed="10"/>
      <name val="Calibri"/>
      <family val="2"/>
    </font>
    <font>
      <sz val="12"/>
      <color indexed="23"/>
      <name val="Calibri"/>
      <family val="2"/>
    </font>
    <font>
      <sz val="12"/>
      <color indexed="23"/>
      <name val="Calibri"/>
      <family val="2"/>
    </font>
    <font>
      <i/>
      <sz val="12"/>
      <name val="Calibri"/>
      <family val="2"/>
    </font>
    <font>
      <b/>
      <sz val="12"/>
      <color indexed="23"/>
      <name val="Calibri"/>
      <family val="2"/>
    </font>
    <font>
      <b/>
      <sz val="12"/>
      <color indexed="10"/>
      <name val="Calibri"/>
      <family val="2"/>
    </font>
    <font>
      <sz val="13"/>
      <name val="Calibri"/>
      <family val="2"/>
    </font>
    <font>
      <b/>
      <i/>
      <sz val="12"/>
      <color indexed="12"/>
      <name val="Calibri"/>
      <family val="2"/>
    </font>
    <font>
      <sz val="12"/>
      <color indexed="12"/>
      <name val="Calibri"/>
      <family val="2"/>
    </font>
    <font>
      <b/>
      <sz val="12"/>
      <color indexed="8"/>
      <name val="Calibri"/>
      <family val="2"/>
    </font>
    <font>
      <b/>
      <sz val="12"/>
      <color indexed="12"/>
      <name val="Calibri"/>
      <family val="2"/>
    </font>
    <font>
      <i/>
      <sz val="12"/>
      <color indexed="12"/>
      <name val="Calibri"/>
      <family val="2"/>
    </font>
    <font>
      <i/>
      <sz val="10"/>
      <color indexed="55"/>
      <name val="Calibri"/>
      <family val="2"/>
    </font>
    <font>
      <sz val="10"/>
      <color indexed="55"/>
      <name val="Calibri"/>
      <family val="2"/>
    </font>
    <font>
      <sz val="11"/>
      <name val="Calibri"/>
      <family val="2"/>
    </font>
    <font>
      <b/>
      <i/>
      <sz val="11"/>
      <name val="Calibri"/>
      <family val="2"/>
    </font>
    <font>
      <sz val="11"/>
      <color indexed="23"/>
      <name val="Calibri"/>
      <family val="2"/>
    </font>
    <font>
      <b/>
      <i/>
      <sz val="12"/>
      <color indexed="10"/>
      <name val="Calibri"/>
      <family val="2"/>
    </font>
    <font>
      <sz val="9"/>
      <color indexed="17"/>
      <name val="Arial"/>
      <family val="2"/>
    </font>
    <font>
      <sz val="8"/>
      <color indexed="23"/>
      <name val="Calibri"/>
      <family val="2"/>
    </font>
    <font>
      <b/>
      <i/>
      <sz val="11"/>
      <color indexed="51"/>
      <name val="Calibri"/>
      <family val="2"/>
    </font>
    <font>
      <b/>
      <sz val="12"/>
      <color indexed="9"/>
      <name val="Calibri"/>
      <family val="2"/>
    </font>
    <font>
      <sz val="11"/>
      <color indexed="56"/>
      <name val="Arial"/>
      <family val="2"/>
    </font>
    <font>
      <i/>
      <sz val="18"/>
      <name val="Calibri"/>
      <family val="2"/>
    </font>
    <font>
      <sz val="11"/>
      <color indexed="12"/>
      <name val="Calibri"/>
      <family val="2"/>
    </font>
    <font>
      <sz val="10"/>
      <color indexed="12"/>
      <name val="Arial"/>
      <family val="2"/>
    </font>
    <font>
      <b/>
      <sz val="9"/>
      <name val="Arial"/>
      <family val="2"/>
    </font>
    <font>
      <b/>
      <i/>
      <sz val="9"/>
      <color indexed="23"/>
      <name val="Arial"/>
      <family val="2"/>
    </font>
    <font>
      <sz val="9"/>
      <color indexed="23"/>
      <name val="Arial"/>
      <family val="2"/>
    </font>
    <font>
      <b/>
      <sz val="13"/>
      <name val="Arial"/>
      <family val="2"/>
    </font>
    <font>
      <b/>
      <sz val="13"/>
      <color theme="0"/>
      <name val="Arial"/>
      <family val="2"/>
    </font>
    <font>
      <b/>
      <sz val="13"/>
      <color theme="1"/>
      <name val="Arial"/>
      <family val="2"/>
    </font>
    <font>
      <sz val="10"/>
      <color theme="1" tint="0.499984740745262"/>
      <name val="Arial"/>
      <family val="2"/>
    </font>
    <font>
      <b/>
      <i/>
      <sz val="9"/>
      <color theme="1" tint="0.499984740745262"/>
      <name val="Arial"/>
      <family val="2"/>
    </font>
    <font>
      <sz val="10"/>
      <color indexed="12"/>
      <name val="Calibri"/>
      <family val="2"/>
    </font>
    <font>
      <i/>
      <sz val="9"/>
      <color indexed="12"/>
      <name val="Calibri"/>
      <family val="2"/>
    </font>
    <font>
      <b/>
      <i/>
      <sz val="10"/>
      <name val="Calibri"/>
      <family val="2"/>
    </font>
    <font>
      <sz val="8"/>
      <color indexed="23"/>
      <name val="Arial"/>
      <family val="2"/>
    </font>
    <font>
      <b/>
      <sz val="9"/>
      <color theme="1" tint="0.499984740745262"/>
      <name val="Arial"/>
      <family val="2"/>
    </font>
    <font>
      <sz val="9"/>
      <color theme="1" tint="0.499984740745262"/>
      <name val="Arial"/>
      <family val="2"/>
    </font>
    <font>
      <b/>
      <i/>
      <sz val="16"/>
      <name val="Calibri"/>
      <family val="2"/>
    </font>
    <font>
      <b/>
      <i/>
      <sz val="16"/>
      <color indexed="9"/>
      <name val="Calibri"/>
      <family val="2"/>
    </font>
    <font>
      <sz val="9"/>
      <name val="Calibri"/>
      <family val="2"/>
    </font>
    <font>
      <b/>
      <sz val="9"/>
      <color theme="1" tint="0.499984740745262"/>
      <name val="Calibri"/>
      <family val="2"/>
    </font>
    <font>
      <b/>
      <sz val="9"/>
      <name val="Calibri"/>
      <family val="2"/>
    </font>
    <font>
      <b/>
      <sz val="12"/>
      <color theme="0"/>
      <name val="Calibri"/>
      <family val="2"/>
    </font>
    <font>
      <i/>
      <sz val="20"/>
      <name val="Calibri"/>
      <family val="2"/>
    </font>
    <font>
      <sz val="10"/>
      <color theme="1" tint="0.499984740745262"/>
      <name val="Calibri"/>
      <family val="2"/>
    </font>
    <font>
      <b/>
      <i/>
      <sz val="11"/>
      <color theme="1"/>
      <name val="Calibri"/>
      <family val="2"/>
    </font>
    <font>
      <b/>
      <i/>
      <sz val="11"/>
      <color rgb="FFFF0000"/>
      <name val="Calibri"/>
      <family val="2"/>
    </font>
    <font>
      <b/>
      <i/>
      <sz val="10"/>
      <color theme="1" tint="0.499984740745262"/>
      <name val="Calibri"/>
      <family val="2"/>
    </font>
    <font>
      <b/>
      <sz val="10"/>
      <color theme="1" tint="0.499984740745262"/>
      <name val="Calibri"/>
      <family val="2"/>
    </font>
    <font>
      <sz val="9"/>
      <color theme="1" tint="0.499984740745262"/>
      <name val="Calibri"/>
      <family val="2"/>
    </font>
    <font>
      <sz val="8"/>
      <color theme="1" tint="0.499984740745262"/>
      <name val="Calibri"/>
      <family val="2"/>
    </font>
    <font>
      <i/>
      <sz val="10"/>
      <color theme="1" tint="0.499984740745262"/>
      <name val="Calibri"/>
      <family val="2"/>
    </font>
    <font>
      <b/>
      <i/>
      <sz val="9"/>
      <color theme="1" tint="0.499984740745262"/>
      <name val="Calibri"/>
      <family val="2"/>
    </font>
    <font>
      <b/>
      <i/>
      <sz val="10"/>
      <color indexed="10"/>
      <name val="Calibri"/>
      <family val="2"/>
    </font>
    <font>
      <i/>
      <sz val="11"/>
      <color rgb="FFFF0000"/>
      <name val="Calibri"/>
      <family val="2"/>
    </font>
    <font>
      <i/>
      <sz val="10"/>
      <color indexed="23"/>
      <name val="Calibri"/>
      <family val="2"/>
    </font>
    <font>
      <b/>
      <i/>
      <sz val="13"/>
      <color rgb="FFFF0000"/>
      <name val="Calibri"/>
      <family val="2"/>
    </font>
    <font>
      <b/>
      <sz val="11"/>
      <color indexed="9"/>
      <name val="Calibri"/>
      <family val="2"/>
    </font>
    <font>
      <i/>
      <sz val="9"/>
      <color rgb="FF008000"/>
      <name val="Calibri"/>
      <family val="2"/>
    </font>
    <font>
      <i/>
      <sz val="8"/>
      <color rgb="FF008000"/>
      <name val="Calibri"/>
      <family val="2"/>
    </font>
    <font>
      <b/>
      <sz val="12"/>
      <color rgb="FF008000"/>
      <name val="Calibri"/>
      <family val="2"/>
    </font>
    <font>
      <b/>
      <i/>
      <sz val="8"/>
      <color rgb="FF008000"/>
      <name val="Calibri"/>
      <family val="2"/>
    </font>
    <font>
      <b/>
      <i/>
      <sz val="9"/>
      <color rgb="FF008000"/>
      <name val="Calibri"/>
      <family val="2"/>
    </font>
    <font>
      <b/>
      <i/>
      <sz val="9"/>
      <color rgb="FF002060"/>
      <name val="Calibri"/>
      <family val="2"/>
    </font>
    <font>
      <sz val="10"/>
      <color rgb="FF002060"/>
      <name val="Arial"/>
      <family val="2"/>
    </font>
    <font>
      <i/>
      <sz val="9"/>
      <color rgb="FF002060"/>
      <name val="Calibri"/>
      <family val="2"/>
    </font>
    <font>
      <i/>
      <sz val="8"/>
      <color rgb="FF002060"/>
      <name val="Calibri"/>
      <family val="2"/>
    </font>
    <font>
      <sz val="10"/>
      <color rgb="FF002060"/>
      <name val="Calibri"/>
      <family val="2"/>
    </font>
    <font>
      <b/>
      <i/>
      <sz val="8"/>
      <color rgb="FF002060"/>
      <name val="Calibri"/>
      <family val="2"/>
    </font>
    <font>
      <b/>
      <i/>
      <sz val="10"/>
      <color theme="1" tint="0.499984740745262"/>
      <name val="Arial"/>
      <family val="2"/>
    </font>
    <font>
      <b/>
      <i/>
      <sz val="9"/>
      <color theme="1"/>
      <name val="Calibri"/>
      <family val="2"/>
    </font>
    <font>
      <b/>
      <sz val="9"/>
      <color theme="1"/>
      <name val="Calibri"/>
      <family val="2"/>
    </font>
    <font>
      <b/>
      <sz val="10"/>
      <color theme="1"/>
      <name val="Calibri"/>
      <family val="2"/>
    </font>
    <font>
      <sz val="12"/>
      <color theme="1" tint="0.499984740745262"/>
      <name val="Calibri"/>
      <family val="2"/>
    </font>
    <font>
      <b/>
      <i/>
      <sz val="10"/>
      <color theme="1"/>
      <name val="Calibri"/>
      <family val="2"/>
    </font>
    <font>
      <b/>
      <sz val="11"/>
      <color theme="0"/>
      <name val="Calibri"/>
      <family val="2"/>
    </font>
    <font>
      <b/>
      <i/>
      <sz val="11"/>
      <color indexed="17"/>
      <name val="Calibri"/>
      <family val="2"/>
    </font>
    <font>
      <sz val="10"/>
      <color theme="0" tint="-0.34998626667073579"/>
      <name val="Calibri"/>
      <family val="2"/>
    </font>
    <font>
      <b/>
      <sz val="11"/>
      <color theme="1"/>
      <name val="Calibri"/>
      <family val="2"/>
    </font>
    <font>
      <b/>
      <i/>
      <sz val="13"/>
      <color theme="1"/>
      <name val="Calibri"/>
      <family val="2"/>
    </font>
    <font>
      <b/>
      <sz val="8"/>
      <color theme="1" tint="0.499984740745262"/>
      <name val="Calibri"/>
      <family val="2"/>
    </font>
    <font>
      <sz val="8"/>
      <color theme="1" tint="0.249977111117893"/>
      <name val="Calibri"/>
      <family val="2"/>
    </font>
    <font>
      <b/>
      <i/>
      <sz val="11"/>
      <color theme="0"/>
      <name val="Calibri"/>
      <family val="2"/>
    </font>
    <font>
      <i/>
      <sz val="8"/>
      <name val="Calibri"/>
      <family val="2"/>
    </font>
    <font>
      <b/>
      <i/>
      <sz val="10"/>
      <color indexed="9"/>
      <name val="Calibri"/>
      <family val="2"/>
    </font>
    <font>
      <b/>
      <sz val="11"/>
      <color theme="0"/>
      <name val="Arial"/>
      <family val="2"/>
    </font>
    <font>
      <b/>
      <i/>
      <sz val="13"/>
      <color indexed="10"/>
      <name val="Calibri Light"/>
      <family val="2"/>
    </font>
    <font>
      <b/>
      <i/>
      <sz val="13"/>
      <color indexed="17"/>
      <name val="Calibri Light"/>
      <family val="2"/>
    </font>
    <font>
      <sz val="13"/>
      <name val="Calibri Light"/>
      <family val="2"/>
    </font>
    <font>
      <b/>
      <sz val="13"/>
      <name val="Calibri Light"/>
      <family val="2"/>
    </font>
    <font>
      <b/>
      <i/>
      <sz val="13"/>
      <name val="Calibri Light"/>
      <family val="2"/>
    </font>
    <font>
      <b/>
      <sz val="13"/>
      <color indexed="23"/>
      <name val="Calibri Light"/>
      <family val="2"/>
    </font>
    <font>
      <i/>
      <sz val="13"/>
      <name val="Calibri Light"/>
      <family val="2"/>
    </font>
    <font>
      <sz val="13"/>
      <color indexed="23"/>
      <name val="Calibri Light"/>
      <family val="2"/>
    </font>
    <font>
      <b/>
      <u/>
      <sz val="13"/>
      <name val="Calibri Light"/>
      <family val="2"/>
    </font>
    <font>
      <b/>
      <i/>
      <sz val="13"/>
      <color indexed="8"/>
      <name val="Calibri Light"/>
      <family val="2"/>
    </font>
    <font>
      <b/>
      <i/>
      <sz val="14"/>
      <color indexed="17"/>
      <name val="Calibri Light"/>
      <family val="2"/>
    </font>
    <font>
      <sz val="10"/>
      <color rgb="FFFF0000"/>
      <name val="Arial"/>
      <family val="2"/>
    </font>
    <font>
      <sz val="10"/>
      <color rgb="FF00B050"/>
      <name val="Arial"/>
      <family val="2"/>
    </font>
    <font>
      <sz val="10"/>
      <color rgb="FF7030A0"/>
      <name val="Arial"/>
      <family val="2"/>
    </font>
    <font>
      <sz val="10"/>
      <color theme="9" tint="-0.249977111117893"/>
      <name val="Arial"/>
      <family val="2"/>
    </font>
    <font>
      <sz val="10"/>
      <color rgb="FF00B0F0"/>
      <name val="Arial"/>
      <family val="2"/>
    </font>
    <font>
      <sz val="10"/>
      <color theme="5" tint="-0.249977111117893"/>
      <name val="Arial"/>
      <family val="2"/>
    </font>
    <font>
      <sz val="10"/>
      <color theme="0" tint="-0.499984740745262"/>
      <name val="Arial"/>
      <family val="2"/>
    </font>
    <font>
      <sz val="10"/>
      <color rgb="FFFF3300"/>
      <name val="Arial"/>
      <family val="2"/>
    </font>
    <font>
      <sz val="10"/>
      <color rgb="FFFF00FF"/>
      <name val="Arial"/>
      <family val="2"/>
    </font>
    <font>
      <sz val="10"/>
      <color rgb="FFCC99FF"/>
      <name val="Arial"/>
      <family val="2"/>
    </font>
    <font>
      <sz val="10"/>
      <color rgb="FF333333"/>
      <name val="Arial"/>
      <family val="2"/>
    </font>
    <font>
      <b/>
      <i/>
      <sz val="9"/>
      <name val="Arial"/>
      <family val="2"/>
    </font>
    <font>
      <sz val="14"/>
      <name val="Calibri"/>
      <family val="2"/>
    </font>
  </fonts>
  <fills count="40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D85B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99"/>
        <bgColor indexed="64"/>
      </patternFill>
    </fill>
  </fills>
  <borders count="139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10"/>
      </top>
      <bottom style="thick">
        <color indexed="10"/>
      </bottom>
      <diagonal/>
    </border>
    <border>
      <left/>
      <right/>
      <top style="thick">
        <color indexed="10"/>
      </top>
      <bottom style="thick">
        <color indexed="10"/>
      </bottom>
      <diagonal/>
    </border>
    <border>
      <left/>
      <right style="thin">
        <color indexed="64"/>
      </right>
      <top style="thick">
        <color indexed="10"/>
      </top>
      <bottom style="thick">
        <color indexed="10"/>
      </bottom>
      <diagonal/>
    </border>
    <border>
      <left/>
      <right style="thick">
        <color indexed="10"/>
      </right>
      <top style="thick">
        <color indexed="10"/>
      </top>
      <bottom style="thick">
        <color indexed="1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17"/>
      </top>
      <bottom style="medium">
        <color indexed="17"/>
      </bottom>
      <diagonal/>
    </border>
    <border>
      <left/>
      <right/>
      <top style="medium">
        <color indexed="17"/>
      </top>
      <bottom style="medium">
        <color indexed="17"/>
      </bottom>
      <diagonal/>
    </border>
    <border>
      <left/>
      <right style="thin">
        <color indexed="64"/>
      </right>
      <top style="medium">
        <color indexed="17"/>
      </top>
      <bottom style="medium">
        <color indexed="17"/>
      </bottom>
      <diagonal/>
    </border>
    <border>
      <left/>
      <right style="medium">
        <color indexed="17"/>
      </right>
      <top style="medium">
        <color indexed="17"/>
      </top>
      <bottom style="medium">
        <color indexed="17"/>
      </bottom>
      <diagonal/>
    </border>
    <border>
      <left style="thin">
        <color indexed="64"/>
      </left>
      <right/>
      <top style="thick">
        <color indexed="13"/>
      </top>
      <bottom style="thick">
        <color indexed="13"/>
      </bottom>
      <diagonal/>
    </border>
    <border>
      <left/>
      <right/>
      <top style="thick">
        <color indexed="13"/>
      </top>
      <bottom style="thick">
        <color indexed="13"/>
      </bottom>
      <diagonal/>
    </border>
    <border>
      <left/>
      <right style="thin">
        <color indexed="64"/>
      </right>
      <top style="thick">
        <color indexed="13"/>
      </top>
      <bottom style="thick">
        <color indexed="13"/>
      </bottom>
      <diagonal/>
    </border>
    <border>
      <left/>
      <right style="thick">
        <color indexed="13"/>
      </right>
      <top style="thick">
        <color indexed="13"/>
      </top>
      <bottom style="thick">
        <color indexed="13"/>
      </bottom>
      <diagonal/>
    </border>
    <border>
      <left style="thick">
        <color indexed="13"/>
      </left>
      <right/>
      <top style="thick">
        <color indexed="13"/>
      </top>
      <bottom style="thick">
        <color indexed="13"/>
      </bottom>
      <diagonal/>
    </border>
    <border>
      <left style="thick">
        <color indexed="17"/>
      </left>
      <right/>
      <top style="thick">
        <color indexed="17"/>
      </top>
      <bottom style="thick">
        <color indexed="17"/>
      </bottom>
      <diagonal/>
    </border>
    <border>
      <left/>
      <right/>
      <top style="thick">
        <color indexed="17"/>
      </top>
      <bottom style="thick">
        <color indexed="17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10"/>
      </left>
      <right/>
      <top style="thick">
        <color indexed="10"/>
      </top>
      <bottom style="thick">
        <color indexed="10"/>
      </bottom>
      <diagonal/>
    </border>
    <border>
      <left style="thick">
        <color indexed="11"/>
      </left>
      <right/>
      <top style="thick">
        <color indexed="11"/>
      </top>
      <bottom style="thick">
        <color indexed="11"/>
      </bottom>
      <diagonal/>
    </border>
    <border>
      <left/>
      <right/>
      <top style="thick">
        <color indexed="11"/>
      </top>
      <bottom style="thick">
        <color indexed="1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ck">
        <color indexed="17"/>
      </right>
      <top style="thick">
        <color indexed="17"/>
      </top>
      <bottom style="thick">
        <color indexed="17"/>
      </bottom>
      <diagonal/>
    </border>
    <border>
      <left/>
      <right style="thick">
        <color indexed="11"/>
      </right>
      <top style="thick">
        <color indexed="11"/>
      </top>
      <bottom style="thick">
        <color indexed="1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1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thick">
        <color indexed="28"/>
      </left>
      <right/>
      <top style="thick">
        <color indexed="28"/>
      </top>
      <bottom/>
      <diagonal/>
    </border>
    <border>
      <left/>
      <right/>
      <top style="thick">
        <color indexed="28"/>
      </top>
      <bottom/>
      <diagonal/>
    </border>
    <border>
      <left/>
      <right style="thick">
        <color indexed="28"/>
      </right>
      <top style="thick">
        <color indexed="28"/>
      </top>
      <bottom/>
      <diagonal/>
    </border>
    <border>
      <left style="thick">
        <color indexed="28"/>
      </left>
      <right/>
      <top/>
      <bottom/>
      <diagonal/>
    </border>
    <border>
      <left/>
      <right style="thick">
        <color indexed="28"/>
      </right>
      <top/>
      <bottom/>
      <diagonal/>
    </border>
    <border>
      <left style="thick">
        <color indexed="28"/>
      </left>
      <right/>
      <top/>
      <bottom style="thick">
        <color indexed="28"/>
      </bottom>
      <diagonal/>
    </border>
    <border>
      <left/>
      <right/>
      <top/>
      <bottom style="thick">
        <color indexed="28"/>
      </bottom>
      <diagonal/>
    </border>
    <border>
      <left/>
      <right style="thick">
        <color indexed="28"/>
      </right>
      <top/>
      <bottom style="thick">
        <color indexed="28"/>
      </bottom>
      <diagonal/>
    </border>
    <border>
      <left style="thick">
        <color indexed="12"/>
      </left>
      <right/>
      <top style="thick">
        <color indexed="12"/>
      </top>
      <bottom/>
      <diagonal/>
    </border>
    <border>
      <left/>
      <right/>
      <top style="thick">
        <color indexed="12"/>
      </top>
      <bottom/>
      <diagonal/>
    </border>
    <border>
      <left/>
      <right style="thick">
        <color indexed="12"/>
      </right>
      <top style="thick">
        <color indexed="12"/>
      </top>
      <bottom/>
      <diagonal/>
    </border>
    <border>
      <left style="thick">
        <color indexed="12"/>
      </left>
      <right/>
      <top/>
      <bottom/>
      <diagonal/>
    </border>
    <border>
      <left/>
      <right style="thick">
        <color indexed="12"/>
      </right>
      <top/>
      <bottom/>
      <diagonal/>
    </border>
    <border>
      <left style="thick">
        <color indexed="12"/>
      </left>
      <right/>
      <top/>
      <bottom style="thick">
        <color indexed="12"/>
      </bottom>
      <diagonal/>
    </border>
    <border>
      <left/>
      <right/>
      <top/>
      <bottom style="thick">
        <color indexed="12"/>
      </bottom>
      <diagonal/>
    </border>
    <border>
      <left/>
      <right style="thick">
        <color indexed="12"/>
      </right>
      <top/>
      <bottom style="thick">
        <color indexed="12"/>
      </bottom>
      <diagonal/>
    </border>
    <border>
      <left/>
      <right/>
      <top/>
      <bottom style="thick">
        <color indexed="10"/>
      </bottom>
      <diagonal/>
    </border>
    <border>
      <left/>
      <right/>
      <top style="medium">
        <color indexed="64"/>
      </top>
      <bottom style="medium">
        <color indexed="10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medium">
        <color indexed="17"/>
      </left>
      <right/>
      <top style="medium">
        <color indexed="17"/>
      </top>
      <bottom style="medium">
        <color indexed="17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/>
      <right/>
      <top style="medium">
        <color indexed="64"/>
      </top>
      <bottom style="dotted">
        <color auto="1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17"/>
      </left>
      <right style="thin">
        <color indexed="64"/>
      </right>
      <top style="medium">
        <color indexed="17"/>
      </top>
      <bottom style="medium">
        <color indexed="17"/>
      </bottom>
      <diagonal/>
    </border>
    <border>
      <left style="thick">
        <color indexed="12"/>
      </left>
      <right style="thick">
        <color indexed="12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4">
    <xf numFmtId="0" fontId="0" fillId="0" borderId="0"/>
    <xf numFmtId="166" fontId="104" fillId="0" borderId="0"/>
    <xf numFmtId="169" fontId="104" fillId="0" borderId="0"/>
    <xf numFmtId="9" fontId="104" fillId="0" borderId="0"/>
  </cellStyleXfs>
  <cellXfs count="1829">
    <xf numFmtId="0" fontId="0" fillId="0" borderId="0" xfId="0"/>
    <xf numFmtId="0" fontId="10" fillId="0" borderId="0" xfId="0" applyFont="1" applyProtection="1">
      <protection hidden="1"/>
    </xf>
    <xf numFmtId="2" fontId="10" fillId="0" borderId="0" xfId="0" applyNumberFormat="1" applyFont="1" applyAlignment="1" applyProtection="1">
      <alignment horizontal="center"/>
      <protection hidden="1"/>
    </xf>
    <xf numFmtId="9" fontId="11" fillId="0" borderId="0" xfId="3" applyFont="1" applyAlignment="1" applyProtection="1">
      <alignment horizontal="center"/>
      <protection hidden="1"/>
    </xf>
    <xf numFmtId="2" fontId="7" fillId="0" borderId="1" xfId="0" applyNumberFormat="1" applyFont="1" applyBorder="1" applyAlignment="1" applyProtection="1">
      <alignment horizontal="right"/>
      <protection hidden="1"/>
    </xf>
    <xf numFmtId="0" fontId="7" fillId="0" borderId="1" xfId="0" applyFont="1" applyBorder="1" applyProtection="1">
      <protection hidden="1"/>
    </xf>
    <xf numFmtId="0" fontId="7" fillId="0" borderId="2" xfId="0" applyFont="1" applyBorder="1" applyProtection="1">
      <protection hidden="1"/>
    </xf>
    <xf numFmtId="2" fontId="21" fillId="0" borderId="3" xfId="0" applyNumberFormat="1" applyFont="1" applyBorder="1" applyAlignment="1" applyProtection="1">
      <alignment horizontal="right"/>
      <protection hidden="1"/>
    </xf>
    <xf numFmtId="0" fontId="21" fillId="0" borderId="3" xfId="0" applyFont="1" applyBorder="1" applyProtection="1">
      <protection hidden="1"/>
    </xf>
    <xf numFmtId="0" fontId="21" fillId="0" borderId="4" xfId="0" applyFont="1" applyBorder="1" applyProtection="1">
      <protection hidden="1"/>
    </xf>
    <xf numFmtId="9" fontId="3" fillId="0" borderId="0" xfId="3" applyFont="1" applyAlignment="1" applyProtection="1">
      <alignment horizontal="center"/>
      <protection hidden="1"/>
    </xf>
    <xf numFmtId="0" fontId="7" fillId="0" borderId="7" xfId="0" applyFont="1" applyBorder="1" applyProtection="1">
      <protection hidden="1"/>
    </xf>
    <xf numFmtId="2" fontId="6" fillId="0" borderId="1" xfId="0" applyNumberFormat="1" applyFont="1" applyBorder="1" applyAlignment="1" applyProtection="1">
      <alignment horizontal="center"/>
      <protection hidden="1"/>
    </xf>
    <xf numFmtId="9" fontId="6" fillId="0" borderId="0" xfId="3" applyFont="1" applyAlignment="1" applyProtection="1">
      <alignment horizontal="center"/>
      <protection hidden="1"/>
    </xf>
    <xf numFmtId="0" fontId="8" fillId="0" borderId="0" xfId="0" applyFont="1" applyAlignment="1" applyProtection="1">
      <alignment horizontal="center"/>
      <protection hidden="1"/>
    </xf>
    <xf numFmtId="2" fontId="0" fillId="0" borderId="8" xfId="0" applyNumberFormat="1" applyBorder="1" applyProtection="1">
      <protection hidden="1"/>
    </xf>
    <xf numFmtId="2" fontId="0" fillId="0" borderId="9" xfId="0" applyNumberFormat="1" applyBorder="1" applyProtection="1">
      <protection hidden="1"/>
    </xf>
    <xf numFmtId="0" fontId="0" fillId="0" borderId="10" xfId="0" applyBorder="1" applyProtection="1">
      <protection hidden="1"/>
    </xf>
    <xf numFmtId="4" fontId="0" fillId="0" borderId="9" xfId="3" applyNumberFormat="1" applyFont="1" applyBorder="1" applyAlignment="1" applyProtection="1">
      <alignment horizontal="center"/>
      <protection hidden="1"/>
    </xf>
    <xf numFmtId="0" fontId="3" fillId="0" borderId="5" xfId="0" applyFont="1" applyBorder="1" applyProtection="1">
      <protection hidden="1"/>
    </xf>
    <xf numFmtId="2" fontId="0" fillId="0" borderId="1" xfId="0" applyNumberFormat="1" applyBorder="1" applyProtection="1">
      <protection hidden="1"/>
    </xf>
    <xf numFmtId="0" fontId="0" fillId="0" borderId="5" xfId="0" applyBorder="1" applyProtection="1">
      <protection hidden="1"/>
    </xf>
    <xf numFmtId="4" fontId="0" fillId="0" borderId="1" xfId="3" applyNumberFormat="1" applyFont="1" applyBorder="1" applyAlignment="1" applyProtection="1">
      <alignment horizontal="center"/>
      <protection hidden="1"/>
    </xf>
    <xf numFmtId="0" fontId="10" fillId="2" borderId="0" xfId="0" applyFont="1" applyFill="1" applyAlignment="1" applyProtection="1">
      <alignment vertical="center"/>
      <protection hidden="1"/>
    </xf>
    <xf numFmtId="0" fontId="14" fillId="2" borderId="0" xfId="0" applyFont="1" applyFill="1" applyAlignment="1" applyProtection="1">
      <alignment horizontal="right" vertical="center"/>
      <protection hidden="1"/>
    </xf>
    <xf numFmtId="0" fontId="14" fillId="2" borderId="0" xfId="0" applyFont="1" applyFill="1" applyAlignment="1" applyProtection="1">
      <alignment horizontal="center" vertical="center"/>
      <protection hidden="1"/>
    </xf>
    <xf numFmtId="0" fontId="10" fillId="3" borderId="0" xfId="0" applyFont="1" applyFill="1" applyAlignment="1" applyProtection="1">
      <alignment vertical="center"/>
      <protection hidden="1"/>
    </xf>
    <xf numFmtId="0" fontId="14" fillId="3" borderId="0" xfId="0" applyFont="1" applyFill="1" applyAlignment="1" applyProtection="1">
      <alignment horizontal="right" vertical="center"/>
      <protection hidden="1"/>
    </xf>
    <xf numFmtId="0" fontId="6" fillId="0" borderId="1" xfId="0" applyFont="1" applyBorder="1" applyAlignment="1" applyProtection="1">
      <alignment vertical="center"/>
      <protection hidden="1"/>
    </xf>
    <xf numFmtId="0" fontId="3" fillId="0" borderId="2" xfId="0" applyFont="1" applyBorder="1" applyAlignment="1" applyProtection="1">
      <alignment vertical="center"/>
      <protection hidden="1"/>
    </xf>
    <xf numFmtId="9" fontId="3" fillId="0" borderId="2" xfId="3" applyFont="1" applyBorder="1" applyAlignment="1" applyProtection="1">
      <alignment horizontal="center" vertical="center"/>
      <protection hidden="1"/>
    </xf>
    <xf numFmtId="49" fontId="8" fillId="0" borderId="0" xfId="0" applyNumberFormat="1" applyFont="1" applyAlignment="1" applyProtection="1">
      <alignment horizontal="center" vertical="center"/>
      <protection hidden="1"/>
    </xf>
    <xf numFmtId="0" fontId="8" fillId="0" borderId="13" xfId="0" applyFont="1" applyBorder="1" applyAlignment="1" applyProtection="1">
      <alignment vertical="center"/>
      <protection hidden="1"/>
    </xf>
    <xf numFmtId="9" fontId="8" fillId="0" borderId="14" xfId="3" applyFont="1" applyBorder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horizontal="right" vertical="center"/>
      <protection hidden="1"/>
    </xf>
    <xf numFmtId="9" fontId="23" fillId="0" borderId="0" xfId="3" applyFont="1" applyAlignment="1" applyProtection="1">
      <alignment horizontal="center" vertical="center"/>
      <protection hidden="1"/>
    </xf>
    <xf numFmtId="9" fontId="8" fillId="0" borderId="0" xfId="3" applyFont="1" applyAlignment="1" applyProtection="1">
      <alignment vertical="center"/>
      <protection hidden="1"/>
    </xf>
    <xf numFmtId="0" fontId="26" fillId="0" borderId="0" xfId="0" applyFont="1" applyAlignment="1" applyProtection="1">
      <alignment horizontal="right" vertical="center"/>
      <protection hidden="1"/>
    </xf>
    <xf numFmtId="0" fontId="32" fillId="4" borderId="15" xfId="0" applyFont="1" applyFill="1" applyBorder="1" applyProtection="1">
      <protection hidden="1"/>
    </xf>
    <xf numFmtId="0" fontId="7" fillId="5" borderId="16" xfId="0" applyFont="1" applyFill="1" applyBorder="1" applyAlignment="1" applyProtection="1">
      <alignment horizontal="center"/>
      <protection hidden="1"/>
    </xf>
    <xf numFmtId="0" fontId="7" fillId="5" borderId="17" xfId="0" applyFont="1" applyFill="1" applyBorder="1" applyAlignment="1" applyProtection="1">
      <alignment horizontal="center"/>
      <protection hidden="1"/>
    </xf>
    <xf numFmtId="49" fontId="7" fillId="5" borderId="18" xfId="0" applyNumberFormat="1" applyFont="1" applyFill="1" applyBorder="1" applyAlignment="1" applyProtection="1">
      <alignment horizontal="center"/>
      <protection hidden="1"/>
    </xf>
    <xf numFmtId="49" fontId="7" fillId="5" borderId="19" xfId="0" applyNumberFormat="1" applyFont="1" applyFill="1" applyBorder="1" applyAlignment="1" applyProtection="1">
      <alignment horizontal="center"/>
      <protection hidden="1"/>
    </xf>
    <xf numFmtId="0" fontId="7" fillId="6" borderId="16" xfId="0" applyFont="1" applyFill="1" applyBorder="1" applyAlignment="1" applyProtection="1">
      <alignment horizontal="center"/>
      <protection hidden="1"/>
    </xf>
    <xf numFmtId="0" fontId="7" fillId="6" borderId="17" xfId="0" applyFont="1" applyFill="1" applyBorder="1" applyAlignment="1" applyProtection="1">
      <alignment horizontal="center"/>
      <protection hidden="1"/>
    </xf>
    <xf numFmtId="49" fontId="7" fillId="6" borderId="18" xfId="0" applyNumberFormat="1" applyFont="1" applyFill="1" applyBorder="1" applyAlignment="1" applyProtection="1">
      <alignment horizontal="center"/>
      <protection hidden="1"/>
    </xf>
    <xf numFmtId="49" fontId="7" fillId="6" borderId="19" xfId="0" applyNumberFormat="1" applyFont="1" applyFill="1" applyBorder="1" applyAlignment="1" applyProtection="1">
      <alignment horizontal="center"/>
      <protection hidden="1"/>
    </xf>
    <xf numFmtId="0" fontId="7" fillId="6" borderId="20" xfId="0" applyFont="1" applyFill="1" applyBorder="1" applyProtection="1">
      <protection hidden="1"/>
    </xf>
    <xf numFmtId="0" fontId="32" fillId="7" borderId="16" xfId="0" applyFont="1" applyFill="1" applyBorder="1" applyAlignment="1" applyProtection="1">
      <alignment horizontal="center"/>
      <protection hidden="1"/>
    </xf>
    <xf numFmtId="0" fontId="32" fillId="7" borderId="17" xfId="0" applyFont="1" applyFill="1" applyBorder="1" applyAlignment="1" applyProtection="1">
      <alignment horizontal="center"/>
      <protection hidden="1"/>
    </xf>
    <xf numFmtId="49" fontId="32" fillId="7" borderId="18" xfId="0" applyNumberFormat="1" applyFont="1" applyFill="1" applyBorder="1" applyAlignment="1" applyProtection="1">
      <alignment horizontal="center"/>
      <protection hidden="1"/>
    </xf>
    <xf numFmtId="49" fontId="32" fillId="7" borderId="19" xfId="0" applyNumberFormat="1" applyFont="1" applyFill="1" applyBorder="1" applyAlignment="1" applyProtection="1">
      <alignment horizontal="center"/>
      <protection hidden="1"/>
    </xf>
    <xf numFmtId="0" fontId="33" fillId="7" borderId="21" xfId="0" applyFont="1" applyFill="1" applyBorder="1" applyAlignment="1" applyProtection="1">
      <alignment horizontal="center"/>
      <protection hidden="1"/>
    </xf>
    <xf numFmtId="0" fontId="34" fillId="8" borderId="22" xfId="0" applyFont="1" applyFill="1" applyBorder="1" applyAlignment="1" applyProtection="1">
      <alignment horizontal="left" vertical="center"/>
      <protection hidden="1"/>
    </xf>
    <xf numFmtId="0" fontId="3" fillId="0" borderId="23" xfId="0" applyFont="1" applyBorder="1" applyProtection="1">
      <protection hidden="1"/>
    </xf>
    <xf numFmtId="0" fontId="0" fillId="0" borderId="24" xfId="0" applyBorder="1" applyProtection="1">
      <protection hidden="1"/>
    </xf>
    <xf numFmtId="2" fontId="0" fillId="0" borderId="25" xfId="0" applyNumberFormat="1" applyBorder="1" applyProtection="1">
      <protection hidden="1"/>
    </xf>
    <xf numFmtId="4" fontId="0" fillId="0" borderId="1" xfId="0" applyNumberFormat="1" applyBorder="1" applyAlignment="1" applyProtection="1">
      <alignment horizontal="center"/>
      <protection hidden="1"/>
    </xf>
    <xf numFmtId="4" fontId="11" fillId="0" borderId="1" xfId="0" applyNumberFormat="1" applyFont="1" applyBorder="1" applyAlignment="1" applyProtection="1">
      <alignment horizontal="center"/>
      <protection hidden="1"/>
    </xf>
    <xf numFmtId="4" fontId="0" fillId="0" borderId="9" xfId="0" applyNumberFormat="1" applyBorder="1" applyAlignment="1" applyProtection="1">
      <alignment horizontal="center"/>
      <protection hidden="1"/>
    </xf>
    <xf numFmtId="4" fontId="11" fillId="0" borderId="1" xfId="3" applyNumberFormat="1" applyFont="1" applyBorder="1" applyAlignment="1" applyProtection="1">
      <alignment horizontal="center"/>
      <protection hidden="1"/>
    </xf>
    <xf numFmtId="0" fontId="0" fillId="0" borderId="26" xfId="0" applyBorder="1" applyProtection="1">
      <protection hidden="1"/>
    </xf>
    <xf numFmtId="0" fontId="3" fillId="0" borderId="28" xfId="0" applyFont="1" applyBorder="1" applyProtection="1">
      <protection hidden="1"/>
    </xf>
    <xf numFmtId="0" fontId="0" fillId="0" borderId="27" xfId="0" applyBorder="1" applyProtection="1">
      <protection hidden="1"/>
    </xf>
    <xf numFmtId="9" fontId="0" fillId="0" borderId="27" xfId="3" applyFont="1" applyBorder="1" applyAlignment="1" applyProtection="1">
      <alignment horizontal="center"/>
      <protection hidden="1"/>
    </xf>
    <xf numFmtId="0" fontId="11" fillId="0" borderId="29" xfId="0" applyFont="1" applyBorder="1" applyAlignment="1" applyProtection="1">
      <alignment horizontal="center"/>
      <protection hidden="1"/>
    </xf>
    <xf numFmtId="0" fontId="12" fillId="0" borderId="30" xfId="0" applyFont="1" applyBorder="1" applyProtection="1">
      <protection hidden="1"/>
    </xf>
    <xf numFmtId="0" fontId="12" fillId="0" borderId="31" xfId="0" applyFont="1" applyBorder="1" applyProtection="1">
      <protection hidden="1"/>
    </xf>
    <xf numFmtId="2" fontId="11" fillId="0" borderId="32" xfId="0" applyNumberFormat="1" applyFont="1" applyBorder="1" applyProtection="1">
      <protection hidden="1"/>
    </xf>
    <xf numFmtId="2" fontId="11" fillId="0" borderId="33" xfId="0" applyNumberFormat="1" applyFont="1" applyBorder="1" applyProtection="1">
      <protection hidden="1"/>
    </xf>
    <xf numFmtId="0" fontId="11" fillId="0" borderId="34" xfId="0" applyFont="1" applyBorder="1" applyProtection="1">
      <protection hidden="1"/>
    </xf>
    <xf numFmtId="4" fontId="11" fillId="0" borderId="33" xfId="0" applyNumberFormat="1" applyFont="1" applyBorder="1" applyAlignment="1" applyProtection="1">
      <alignment horizontal="center"/>
      <protection hidden="1"/>
    </xf>
    <xf numFmtId="4" fontId="11" fillId="0" borderId="33" xfId="3" applyNumberFormat="1" applyFont="1" applyBorder="1" applyAlignment="1" applyProtection="1">
      <alignment horizontal="center"/>
      <protection hidden="1"/>
    </xf>
    <xf numFmtId="0" fontId="0" fillId="0" borderId="34" xfId="0" applyBorder="1" applyProtection="1">
      <protection hidden="1"/>
    </xf>
    <xf numFmtId="9" fontId="3" fillId="0" borderId="34" xfId="3" applyFont="1" applyBorder="1" applyAlignment="1" applyProtection="1">
      <alignment horizontal="center"/>
      <protection hidden="1"/>
    </xf>
    <xf numFmtId="2" fontId="0" fillId="0" borderId="9" xfId="0" applyNumberFormat="1" applyBorder="1" applyAlignment="1" applyProtection="1">
      <alignment horizontal="center"/>
      <protection hidden="1"/>
    </xf>
    <xf numFmtId="0" fontId="17" fillId="0" borderId="7" xfId="0" applyFont="1" applyBorder="1" applyAlignment="1" applyProtection="1">
      <alignment horizontal="center"/>
      <protection hidden="1"/>
    </xf>
    <xf numFmtId="2" fontId="17" fillId="0" borderId="1" xfId="0" applyNumberFormat="1" applyFont="1" applyBorder="1" applyAlignment="1" applyProtection="1">
      <alignment horizontal="center"/>
      <protection hidden="1"/>
    </xf>
    <xf numFmtId="0" fontId="17" fillId="0" borderId="2" xfId="0" applyFont="1" applyBorder="1" applyProtection="1">
      <protection hidden="1"/>
    </xf>
    <xf numFmtId="0" fontId="12" fillId="5" borderId="35" xfId="0" applyFont="1" applyFill="1" applyBorder="1" applyAlignment="1" applyProtection="1">
      <alignment horizontal="center"/>
      <protection hidden="1"/>
    </xf>
    <xf numFmtId="0" fontId="28" fillId="0" borderId="0" xfId="0" applyFont="1" applyAlignment="1" applyProtection="1">
      <alignment horizontal="right" vertical="center"/>
      <protection hidden="1"/>
    </xf>
    <xf numFmtId="9" fontId="28" fillId="0" borderId="0" xfId="3" applyFont="1" applyAlignment="1" applyProtection="1">
      <alignment horizontal="center" vertical="center"/>
      <protection hidden="1"/>
    </xf>
    <xf numFmtId="9" fontId="17" fillId="0" borderId="0" xfId="3" applyFont="1" applyAlignment="1" applyProtection="1">
      <alignment vertical="center"/>
      <protection hidden="1"/>
    </xf>
    <xf numFmtId="1" fontId="8" fillId="0" borderId="12" xfId="0" applyNumberFormat="1" applyFont="1" applyBorder="1" applyAlignment="1" applyProtection="1">
      <alignment horizontal="center" vertical="center"/>
      <protection hidden="1"/>
    </xf>
    <xf numFmtId="1" fontId="6" fillId="0" borderId="1" xfId="0" applyNumberFormat="1" applyFont="1" applyBorder="1" applyAlignment="1" applyProtection="1">
      <alignment horizontal="center" vertical="center"/>
      <protection hidden="1"/>
    </xf>
    <xf numFmtId="0" fontId="3" fillId="0" borderId="24" xfId="0" applyFont="1" applyBorder="1" applyProtection="1">
      <protection hidden="1"/>
    </xf>
    <xf numFmtId="9" fontId="0" fillId="0" borderId="26" xfId="3" applyFont="1" applyBorder="1" applyAlignment="1" applyProtection="1">
      <alignment horizontal="center"/>
      <protection hidden="1"/>
    </xf>
    <xf numFmtId="9" fontId="11" fillId="0" borderId="34" xfId="3" applyFont="1" applyBorder="1" applyAlignment="1" applyProtection="1">
      <alignment horizontal="center"/>
      <protection hidden="1"/>
    </xf>
    <xf numFmtId="9" fontId="0" fillId="0" borderId="34" xfId="3" applyFont="1" applyBorder="1" applyAlignment="1" applyProtection="1">
      <alignment horizontal="center"/>
      <protection hidden="1"/>
    </xf>
    <xf numFmtId="0" fontId="8" fillId="0" borderId="38" xfId="0" applyFont="1" applyBorder="1" applyAlignment="1" applyProtection="1">
      <alignment vertical="center"/>
      <protection hidden="1"/>
    </xf>
    <xf numFmtId="1" fontId="8" fillId="0" borderId="37" xfId="0" applyNumberFormat="1" applyFont="1" applyBorder="1" applyAlignment="1" applyProtection="1">
      <alignment horizontal="center" vertical="center"/>
      <protection hidden="1"/>
    </xf>
    <xf numFmtId="9" fontId="8" fillId="0" borderId="39" xfId="3" applyFont="1" applyBorder="1" applyAlignment="1" applyProtection="1">
      <alignment horizontal="center" vertical="center"/>
      <protection hidden="1"/>
    </xf>
    <xf numFmtId="10" fontId="11" fillId="0" borderId="25" xfId="3" applyNumberFormat="1" applyFont="1" applyBorder="1" applyProtection="1">
      <protection hidden="1"/>
    </xf>
    <xf numFmtId="10" fontId="11" fillId="0" borderId="1" xfId="3" applyNumberFormat="1" applyFont="1" applyBorder="1" applyProtection="1">
      <protection hidden="1"/>
    </xf>
    <xf numFmtId="9" fontId="26" fillId="0" borderId="0" xfId="3" applyFont="1" applyAlignment="1" applyProtection="1">
      <alignment horizontal="center" vertical="center"/>
      <protection hidden="1"/>
    </xf>
    <xf numFmtId="0" fontId="15" fillId="4" borderId="13" xfId="0" applyFont="1" applyFill="1" applyBorder="1" applyAlignment="1" applyProtection="1">
      <alignment vertical="center"/>
      <protection hidden="1"/>
    </xf>
    <xf numFmtId="9" fontId="15" fillId="4" borderId="12" xfId="3" applyFont="1" applyFill="1" applyBorder="1" applyAlignment="1" applyProtection="1">
      <alignment vertical="center"/>
      <protection hidden="1"/>
    </xf>
    <xf numFmtId="0" fontId="11" fillId="0" borderId="1" xfId="0" applyFont="1" applyBorder="1" applyAlignment="1" applyProtection="1">
      <alignment vertical="center"/>
      <protection hidden="1"/>
    </xf>
    <xf numFmtId="0" fontId="12" fillId="0" borderId="2" xfId="0" applyFont="1" applyBorder="1" applyAlignment="1" applyProtection="1">
      <alignment vertical="center"/>
      <protection hidden="1"/>
    </xf>
    <xf numFmtId="1" fontId="11" fillId="0" borderId="1" xfId="0" applyNumberFormat="1" applyFont="1" applyBorder="1" applyAlignment="1" applyProtection="1">
      <alignment horizontal="center" vertical="center"/>
      <protection hidden="1"/>
    </xf>
    <xf numFmtId="9" fontId="12" fillId="0" borderId="2" xfId="3" applyFont="1" applyBorder="1" applyAlignment="1" applyProtection="1">
      <alignment horizontal="center" vertical="center"/>
      <protection hidden="1"/>
    </xf>
    <xf numFmtId="0" fontId="8" fillId="0" borderId="42" xfId="0" applyFont="1" applyBorder="1" applyAlignment="1" applyProtection="1">
      <alignment vertical="center"/>
      <protection hidden="1"/>
    </xf>
    <xf numFmtId="1" fontId="8" fillId="0" borderId="41" xfId="0" applyNumberFormat="1" applyFont="1" applyBorder="1" applyAlignment="1" applyProtection="1">
      <alignment horizontal="center" vertical="center"/>
      <protection hidden="1"/>
    </xf>
    <xf numFmtId="9" fontId="8" fillId="0" borderId="43" xfId="3" applyFont="1" applyBorder="1" applyAlignment="1" applyProtection="1">
      <alignment horizontal="center" vertical="center"/>
      <protection hidden="1"/>
    </xf>
    <xf numFmtId="0" fontId="27" fillId="4" borderId="44" xfId="0" applyFont="1" applyFill="1" applyBorder="1" applyAlignment="1" applyProtection="1">
      <alignment vertical="center"/>
      <protection hidden="1"/>
    </xf>
    <xf numFmtId="0" fontId="27" fillId="4" borderId="41" xfId="0" applyFont="1" applyFill="1" applyBorder="1" applyAlignment="1" applyProtection="1">
      <alignment vertical="center"/>
      <protection hidden="1"/>
    </xf>
    <xf numFmtId="0" fontId="9" fillId="4" borderId="41" xfId="0" applyFont="1" applyFill="1" applyBorder="1" applyAlignment="1" applyProtection="1">
      <alignment horizontal="right" vertical="center"/>
      <protection hidden="1"/>
    </xf>
    <xf numFmtId="0" fontId="27" fillId="4" borderId="45" xfId="0" applyFont="1" applyFill="1" applyBorder="1" applyAlignment="1" applyProtection="1">
      <alignment vertical="center"/>
      <protection hidden="1"/>
    </xf>
    <xf numFmtId="0" fontId="27" fillId="4" borderId="46" xfId="0" applyFont="1" applyFill="1" applyBorder="1" applyAlignment="1" applyProtection="1">
      <alignment vertical="center"/>
      <protection hidden="1"/>
    </xf>
    <xf numFmtId="0" fontId="9" fillId="4" borderId="46" xfId="0" applyFont="1" applyFill="1" applyBorder="1" applyAlignment="1" applyProtection="1">
      <alignment horizontal="right" vertical="center"/>
      <protection hidden="1"/>
    </xf>
    <xf numFmtId="0" fontId="3" fillId="0" borderId="26" xfId="0" applyFont="1" applyBorder="1" applyProtection="1">
      <protection hidden="1"/>
    </xf>
    <xf numFmtId="0" fontId="3" fillId="0" borderId="10" xfId="0" applyFont="1" applyBorder="1" applyProtection="1">
      <protection hidden="1"/>
    </xf>
    <xf numFmtId="0" fontId="10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7" fillId="0" borderId="0" xfId="0" applyFont="1" applyProtection="1">
      <protection hidden="1"/>
    </xf>
    <xf numFmtId="10" fontId="3" fillId="0" borderId="9" xfId="3" applyNumberFormat="1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vertical="center"/>
      <protection hidden="1"/>
    </xf>
    <xf numFmtId="0" fontId="8" fillId="6" borderId="22" xfId="0" applyFont="1" applyFill="1" applyBorder="1" applyAlignment="1" applyProtection="1">
      <alignment horizontal="center"/>
      <protection hidden="1"/>
    </xf>
    <xf numFmtId="0" fontId="29" fillId="6" borderId="21" xfId="0" applyFont="1" applyFill="1" applyBorder="1" applyProtection="1">
      <protection hidden="1"/>
    </xf>
    <xf numFmtId="9" fontId="8" fillId="6" borderId="48" xfId="3" applyFont="1" applyFill="1" applyBorder="1" applyAlignment="1" applyProtection="1">
      <alignment horizontal="center"/>
      <protection hidden="1"/>
    </xf>
    <xf numFmtId="9" fontId="8" fillId="6" borderId="20" xfId="3" applyFont="1" applyFill="1" applyBorder="1" applyAlignment="1" applyProtection="1">
      <alignment horizont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17" fillId="0" borderId="7" xfId="0" applyFont="1" applyBorder="1" applyAlignment="1" applyProtection="1">
      <alignment horizontal="center" vertical="center"/>
      <protection hidden="1"/>
    </xf>
    <xf numFmtId="2" fontId="17" fillId="0" borderId="1" xfId="0" applyNumberFormat="1" applyFont="1" applyBorder="1" applyAlignment="1" applyProtection="1">
      <alignment horizontal="center" vertical="center"/>
      <protection hidden="1"/>
    </xf>
    <xf numFmtId="0" fontId="17" fillId="0" borderId="2" xfId="0" applyFont="1" applyBorder="1" applyAlignment="1" applyProtection="1">
      <alignment vertical="center"/>
      <protection hidden="1"/>
    </xf>
    <xf numFmtId="9" fontId="11" fillId="0" borderId="0" xfId="3" applyFont="1" applyAlignment="1" applyProtection="1">
      <alignment horizontal="center" vertical="center"/>
      <protection hidden="1"/>
    </xf>
    <xf numFmtId="2" fontId="7" fillId="0" borderId="1" xfId="0" applyNumberFormat="1" applyFont="1" applyBorder="1" applyAlignment="1" applyProtection="1">
      <alignment horizontal="right" vertical="center"/>
      <protection hidden="1"/>
    </xf>
    <xf numFmtId="0" fontId="7" fillId="0" borderId="1" xfId="0" applyFont="1" applyBorder="1" applyAlignment="1" applyProtection="1">
      <alignment vertical="center"/>
      <protection hidden="1"/>
    </xf>
    <xf numFmtId="0" fontId="7" fillId="0" borderId="2" xfId="0" applyFont="1" applyBorder="1" applyAlignment="1" applyProtection="1">
      <alignment vertical="center"/>
      <protection hidden="1"/>
    </xf>
    <xf numFmtId="2" fontId="21" fillId="0" borderId="3" xfId="0" applyNumberFormat="1" applyFont="1" applyBorder="1" applyAlignment="1" applyProtection="1">
      <alignment horizontal="right" vertical="center"/>
      <protection hidden="1"/>
    </xf>
    <xf numFmtId="0" fontId="21" fillId="0" borderId="3" xfId="0" applyFont="1" applyBorder="1" applyAlignment="1" applyProtection="1">
      <alignment vertical="center"/>
      <protection hidden="1"/>
    </xf>
    <xf numFmtId="0" fontId="21" fillId="0" borderId="4" xfId="0" applyFont="1" applyBorder="1" applyAlignment="1" applyProtection="1">
      <alignment vertical="center"/>
      <protection hidden="1"/>
    </xf>
    <xf numFmtId="2" fontId="0" fillId="0" borderId="9" xfId="0" applyNumberFormat="1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vertical="center"/>
      <protection hidden="1"/>
    </xf>
    <xf numFmtId="9" fontId="3" fillId="0" borderId="0" xfId="3" applyFont="1" applyAlignment="1" applyProtection="1">
      <alignment horizontal="center" vertical="center"/>
      <protection hidden="1"/>
    </xf>
    <xf numFmtId="10" fontId="0" fillId="0" borderId="9" xfId="3" applyNumberFormat="1" applyFont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vertical="center"/>
      <protection hidden="1"/>
    </xf>
    <xf numFmtId="2" fontId="6" fillId="0" borderId="1" xfId="0" applyNumberFormat="1" applyFont="1" applyBorder="1" applyAlignment="1" applyProtection="1">
      <alignment horizontal="center" vertical="center"/>
      <protection hidden="1"/>
    </xf>
    <xf numFmtId="9" fontId="6" fillId="0" borderId="0" xfId="3" applyFont="1" applyAlignment="1" applyProtection="1">
      <alignment horizontal="center" vertical="center"/>
      <protection hidden="1"/>
    </xf>
    <xf numFmtId="0" fontId="7" fillId="6" borderId="16" xfId="0" applyFont="1" applyFill="1" applyBorder="1" applyAlignment="1" applyProtection="1">
      <alignment horizontal="center" vertical="center"/>
      <protection hidden="1"/>
    </xf>
    <xf numFmtId="0" fontId="7" fillId="6" borderId="17" xfId="0" applyFont="1" applyFill="1" applyBorder="1" applyAlignment="1" applyProtection="1">
      <alignment horizontal="center"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0" fontId="32" fillId="7" borderId="16" xfId="0" applyFont="1" applyFill="1" applyBorder="1" applyAlignment="1" applyProtection="1">
      <alignment horizontal="center" vertical="center"/>
      <protection hidden="1"/>
    </xf>
    <xf numFmtId="0" fontId="32" fillId="7" borderId="17" xfId="0" applyFont="1" applyFill="1" applyBorder="1" applyAlignment="1" applyProtection="1">
      <alignment horizontal="center" vertical="center"/>
      <protection hidden="1"/>
    </xf>
    <xf numFmtId="0" fontId="7" fillId="5" borderId="16" xfId="0" applyFont="1" applyFill="1" applyBorder="1" applyAlignment="1" applyProtection="1">
      <alignment horizontal="center" vertical="center"/>
      <protection hidden="1"/>
    </xf>
    <xf numFmtId="0" fontId="7" fillId="5" borderId="17" xfId="0" applyFont="1" applyFill="1" applyBorder="1" applyAlignment="1" applyProtection="1">
      <alignment horizontal="center" vertical="center"/>
      <protection hidden="1"/>
    </xf>
    <xf numFmtId="0" fontId="32" fillId="4" borderId="49" xfId="0" applyFont="1" applyFill="1" applyBorder="1" applyAlignment="1" applyProtection="1">
      <alignment vertical="center"/>
      <protection hidden="1"/>
    </xf>
    <xf numFmtId="49" fontId="7" fillId="6" borderId="50" xfId="0" applyNumberFormat="1" applyFont="1" applyFill="1" applyBorder="1" applyAlignment="1" applyProtection="1">
      <alignment horizontal="center" vertical="center"/>
      <protection hidden="1"/>
    </xf>
    <xf numFmtId="49" fontId="7" fillId="6" borderId="51" xfId="0" applyNumberFormat="1" applyFont="1" applyFill="1" applyBorder="1" applyAlignment="1" applyProtection="1">
      <alignment horizontal="center" vertical="center"/>
      <protection hidden="1"/>
    </xf>
    <xf numFmtId="0" fontId="7" fillId="6" borderId="52" xfId="0" applyFont="1" applyFill="1" applyBorder="1" applyAlignment="1" applyProtection="1">
      <alignment vertical="center"/>
      <protection hidden="1"/>
    </xf>
    <xf numFmtId="49" fontId="32" fillId="7" borderId="50" xfId="0" applyNumberFormat="1" applyFont="1" applyFill="1" applyBorder="1" applyAlignment="1" applyProtection="1">
      <alignment horizontal="center" vertical="center"/>
      <protection hidden="1"/>
    </xf>
    <xf numFmtId="49" fontId="32" fillId="7" borderId="51" xfId="0" applyNumberFormat="1" applyFont="1" applyFill="1" applyBorder="1" applyAlignment="1" applyProtection="1">
      <alignment horizontal="center" vertical="center"/>
      <protection hidden="1"/>
    </xf>
    <xf numFmtId="0" fontId="33" fillId="7" borderId="53" xfId="0" applyFont="1" applyFill="1" applyBorder="1" applyAlignment="1" applyProtection="1">
      <alignment horizontal="center" vertical="center"/>
      <protection hidden="1"/>
    </xf>
    <xf numFmtId="49" fontId="7" fillId="5" borderId="18" xfId="0" applyNumberFormat="1" applyFont="1" applyFill="1" applyBorder="1" applyAlignment="1" applyProtection="1">
      <alignment horizontal="center" vertical="center"/>
      <protection hidden="1"/>
    </xf>
    <xf numFmtId="49" fontId="7" fillId="5" borderId="19" xfId="0" applyNumberFormat="1" applyFont="1" applyFill="1" applyBorder="1" applyAlignment="1" applyProtection="1">
      <alignment horizontal="center" vertical="center"/>
      <protection hidden="1"/>
    </xf>
    <xf numFmtId="0" fontId="12" fillId="5" borderId="35" xfId="0" applyFont="1" applyFill="1" applyBorder="1" applyAlignment="1" applyProtection="1">
      <alignment horizontal="center" vertical="center"/>
      <protection hidden="1"/>
    </xf>
    <xf numFmtId="0" fontId="3" fillId="0" borderId="54" xfId="0" applyFont="1" applyBorder="1" applyAlignment="1" applyProtection="1">
      <alignment vertical="center"/>
      <protection hidden="1"/>
    </xf>
    <xf numFmtId="0" fontId="0" fillId="0" borderId="55" xfId="0" applyBorder="1" applyAlignment="1" applyProtection="1">
      <alignment vertical="center"/>
      <protection hidden="1"/>
    </xf>
    <xf numFmtId="2" fontId="0" fillId="0" borderId="16" xfId="0" applyNumberFormat="1" applyBorder="1" applyAlignment="1" applyProtection="1">
      <alignment vertical="center"/>
      <protection hidden="1"/>
    </xf>
    <xf numFmtId="2" fontId="0" fillId="0" borderId="56" xfId="0" applyNumberFormat="1" applyBorder="1" applyAlignment="1" applyProtection="1">
      <alignment vertical="center"/>
      <protection hidden="1"/>
    </xf>
    <xf numFmtId="0" fontId="0" fillId="0" borderId="57" xfId="0" applyBorder="1" applyAlignment="1" applyProtection="1">
      <alignment vertical="center"/>
      <protection hidden="1"/>
    </xf>
    <xf numFmtId="4" fontId="0" fillId="0" borderId="56" xfId="0" applyNumberFormat="1" applyBorder="1" applyAlignment="1" applyProtection="1">
      <alignment horizontal="center" vertical="center"/>
      <protection hidden="1"/>
    </xf>
    <xf numFmtId="4" fontId="0" fillId="0" borderId="56" xfId="3" applyNumberFormat="1" applyFont="1" applyBorder="1" applyAlignment="1" applyProtection="1">
      <alignment horizontal="center" vertical="center"/>
      <protection hidden="1"/>
    </xf>
    <xf numFmtId="9" fontId="0" fillId="0" borderId="57" xfId="3" applyFont="1" applyBorder="1" applyAlignment="1" applyProtection="1">
      <alignment horizontal="center" vertical="center"/>
      <protection hidden="1"/>
    </xf>
    <xf numFmtId="0" fontId="3" fillId="0" borderId="23" xfId="0" applyFont="1" applyBorder="1" applyAlignment="1" applyProtection="1">
      <alignment vertical="center"/>
      <protection hidden="1"/>
    </xf>
    <xf numFmtId="2" fontId="0" fillId="0" borderId="25" xfId="0" applyNumberFormat="1" applyBorder="1" applyAlignment="1" applyProtection="1">
      <alignment vertical="center"/>
      <protection hidden="1"/>
    </xf>
    <xf numFmtId="2" fontId="0" fillId="0" borderId="1" xfId="0" applyNumberFormat="1" applyBorder="1" applyAlignment="1" applyProtection="1">
      <alignment vertical="center"/>
      <protection hidden="1"/>
    </xf>
    <xf numFmtId="0" fontId="0" fillId="0" borderId="26" xfId="0" applyBorder="1" applyAlignment="1" applyProtection="1">
      <alignment vertical="center"/>
      <protection hidden="1"/>
    </xf>
    <xf numFmtId="4" fontId="0" fillId="0" borderId="1" xfId="0" applyNumberFormat="1" applyBorder="1" applyAlignment="1" applyProtection="1">
      <alignment horizontal="center" vertical="center"/>
      <protection hidden="1"/>
    </xf>
    <xf numFmtId="4" fontId="0" fillId="0" borderId="1" xfId="3" applyNumberFormat="1" applyFont="1" applyBorder="1" applyAlignment="1" applyProtection="1">
      <alignment horizontal="center" vertical="center"/>
      <protection hidden="1"/>
    </xf>
    <xf numFmtId="9" fontId="0" fillId="0" borderId="26" xfId="3" applyFont="1" applyBorder="1" applyAlignment="1" applyProtection="1">
      <alignment horizontal="center" vertical="center"/>
      <protection hidden="1"/>
    </xf>
    <xf numFmtId="0" fontId="11" fillId="0" borderId="29" xfId="0" applyFont="1" applyBorder="1" applyAlignment="1" applyProtection="1">
      <alignment horizontal="center" vertical="center"/>
      <protection hidden="1"/>
    </xf>
    <xf numFmtId="0" fontId="12" fillId="0" borderId="30" xfId="0" applyFont="1" applyBorder="1" applyAlignment="1" applyProtection="1">
      <alignment vertical="center"/>
      <protection hidden="1"/>
    </xf>
    <xf numFmtId="0" fontId="12" fillId="0" borderId="31" xfId="0" applyFont="1" applyBorder="1" applyAlignment="1" applyProtection="1">
      <alignment vertical="center"/>
      <protection hidden="1"/>
    </xf>
    <xf numFmtId="2" fontId="11" fillId="0" borderId="32" xfId="0" applyNumberFormat="1" applyFont="1" applyBorder="1" applyAlignment="1" applyProtection="1">
      <alignment vertical="center"/>
      <protection hidden="1"/>
    </xf>
    <xf numFmtId="2" fontId="11" fillId="0" borderId="33" xfId="0" applyNumberFormat="1" applyFont="1" applyBorder="1" applyAlignment="1" applyProtection="1">
      <alignment vertical="center"/>
      <protection hidden="1"/>
    </xf>
    <xf numFmtId="0" fontId="11" fillId="0" borderId="34" xfId="0" applyFont="1" applyBorder="1" applyAlignment="1" applyProtection="1">
      <alignment vertical="center"/>
      <protection hidden="1"/>
    </xf>
    <xf numFmtId="4" fontId="11" fillId="0" borderId="33" xfId="0" applyNumberFormat="1" applyFont="1" applyBorder="1" applyAlignment="1" applyProtection="1">
      <alignment horizontal="center" vertical="center"/>
      <protection hidden="1"/>
    </xf>
    <xf numFmtId="4" fontId="11" fillId="0" borderId="33" xfId="3" applyNumberFormat="1" applyFont="1" applyBorder="1" applyAlignment="1" applyProtection="1">
      <alignment horizontal="center" vertical="center"/>
      <protection hidden="1"/>
    </xf>
    <xf numFmtId="9" fontId="11" fillId="0" borderId="34" xfId="3" applyFont="1" applyBorder="1" applyAlignment="1" applyProtection="1">
      <alignment horizontal="center" vertical="center"/>
      <protection hidden="1"/>
    </xf>
    <xf numFmtId="0" fontId="3" fillId="0" borderId="28" xfId="0" applyFont="1" applyBorder="1" applyAlignment="1" applyProtection="1">
      <alignment vertical="center"/>
      <protection hidden="1"/>
    </xf>
    <xf numFmtId="0" fontId="0" fillId="0" borderId="10" xfId="0" applyBorder="1" applyAlignment="1" applyProtection="1">
      <alignment vertical="center"/>
      <protection hidden="1"/>
    </xf>
    <xf numFmtId="0" fontId="0" fillId="0" borderId="27" xfId="0" applyBorder="1" applyAlignment="1" applyProtection="1">
      <alignment vertical="center"/>
      <protection hidden="1"/>
    </xf>
    <xf numFmtId="4" fontId="0" fillId="0" borderId="9" xfId="0" applyNumberFormat="1" applyBorder="1" applyAlignment="1" applyProtection="1">
      <alignment horizontal="center" vertical="center"/>
      <protection hidden="1"/>
    </xf>
    <xf numFmtId="4" fontId="0" fillId="0" borderId="9" xfId="3" applyNumberFormat="1" applyFont="1" applyBorder="1" applyAlignment="1" applyProtection="1">
      <alignment horizontal="center" vertical="center"/>
      <protection hidden="1"/>
    </xf>
    <xf numFmtId="9" fontId="0" fillId="0" borderId="27" xfId="3" applyFont="1" applyBorder="1" applyAlignment="1" applyProtection="1">
      <alignment horizontal="center" vertical="center"/>
      <protection hidden="1"/>
    </xf>
    <xf numFmtId="0" fontId="0" fillId="0" borderId="5" xfId="0" applyBorder="1" applyAlignment="1" applyProtection="1">
      <alignment vertical="center"/>
      <protection hidden="1"/>
    </xf>
    <xf numFmtId="2" fontId="0" fillId="0" borderId="8" xfId="0" applyNumberFormat="1" applyBorder="1" applyAlignment="1" applyProtection="1">
      <alignment vertical="center"/>
      <protection hidden="1"/>
    </xf>
    <xf numFmtId="2" fontId="0" fillId="0" borderId="9" xfId="0" applyNumberFormat="1" applyBorder="1" applyAlignment="1" applyProtection="1">
      <alignment vertical="center"/>
      <protection hidden="1"/>
    </xf>
    <xf numFmtId="0" fontId="0" fillId="0" borderId="34" xfId="0" applyBorder="1" applyAlignment="1" applyProtection="1">
      <alignment vertical="center"/>
      <protection hidden="1"/>
    </xf>
    <xf numFmtId="9" fontId="3" fillId="0" borderId="34" xfId="3" applyFont="1" applyBorder="1" applyAlignment="1" applyProtection="1">
      <alignment horizontal="center" vertical="center"/>
      <protection hidden="1"/>
    </xf>
    <xf numFmtId="9" fontId="0" fillId="0" borderId="34" xfId="3" applyFont="1" applyBorder="1" applyAlignment="1" applyProtection="1">
      <alignment horizontal="center" vertical="center"/>
      <protection hidden="1"/>
    </xf>
    <xf numFmtId="9" fontId="0" fillId="0" borderId="10" xfId="3" applyFont="1" applyBorder="1" applyAlignment="1" applyProtection="1">
      <alignment horizontal="center" vertical="center"/>
      <protection hidden="1"/>
    </xf>
    <xf numFmtId="10" fontId="11" fillId="0" borderId="25" xfId="3" applyNumberFormat="1" applyFont="1" applyBorder="1" applyAlignment="1" applyProtection="1">
      <alignment vertical="center"/>
      <protection hidden="1"/>
    </xf>
    <xf numFmtId="10" fontId="11" fillId="0" borderId="1" xfId="3" applyNumberFormat="1" applyFont="1" applyBorder="1" applyAlignment="1" applyProtection="1">
      <alignment vertical="center"/>
      <protection hidden="1"/>
    </xf>
    <xf numFmtId="4" fontId="11" fillId="0" borderId="1" xfId="0" applyNumberFormat="1" applyFont="1" applyBorder="1" applyAlignment="1" applyProtection="1">
      <alignment horizontal="center" vertical="center"/>
      <protection hidden="1"/>
    </xf>
    <xf numFmtId="4" fontId="11" fillId="0" borderId="1" xfId="3" applyNumberFormat="1" applyFont="1" applyBorder="1" applyAlignment="1" applyProtection="1">
      <alignment horizontal="center" vertical="center"/>
      <protection hidden="1"/>
    </xf>
    <xf numFmtId="0" fontId="3" fillId="0" borderId="29" xfId="0" applyFont="1" applyBorder="1" applyAlignment="1" applyProtection="1">
      <alignment vertical="center"/>
      <protection hidden="1"/>
    </xf>
    <xf numFmtId="0" fontId="0" fillId="0" borderId="19" xfId="0" applyBorder="1" applyAlignment="1" applyProtection="1">
      <alignment vertical="center"/>
      <protection hidden="1"/>
    </xf>
    <xf numFmtId="0" fontId="0" fillId="0" borderId="58" xfId="0" applyBorder="1" applyAlignment="1" applyProtection="1">
      <alignment vertical="center"/>
      <protection hidden="1"/>
    </xf>
    <xf numFmtId="2" fontId="0" fillId="0" borderId="18" xfId="0" applyNumberFormat="1" applyBorder="1" applyAlignment="1" applyProtection="1">
      <alignment vertical="center"/>
      <protection hidden="1"/>
    </xf>
    <xf numFmtId="2" fontId="0" fillId="0" borderId="59" xfId="0" applyNumberFormat="1" applyBorder="1" applyAlignment="1" applyProtection="1">
      <alignment vertical="center"/>
      <protection hidden="1"/>
    </xf>
    <xf numFmtId="0" fontId="0" fillId="0" borderId="60" xfId="0" applyBorder="1" applyAlignment="1" applyProtection="1">
      <alignment vertical="center"/>
      <protection hidden="1"/>
    </xf>
    <xf numFmtId="4" fontId="0" fillId="0" borderId="59" xfId="0" applyNumberFormat="1" applyBorder="1" applyAlignment="1" applyProtection="1">
      <alignment horizontal="center" vertical="center"/>
      <protection hidden="1"/>
    </xf>
    <xf numFmtId="4" fontId="0" fillId="0" borderId="59" xfId="3" applyNumberFormat="1" applyFont="1" applyBorder="1" applyAlignment="1" applyProtection="1">
      <alignment horizontal="center" vertical="center"/>
      <protection hidden="1"/>
    </xf>
    <xf numFmtId="9" fontId="0" fillId="0" borderId="60" xfId="3" applyFont="1" applyBorder="1" applyAlignment="1" applyProtection="1">
      <alignment horizontal="center" vertical="center"/>
      <protection hidden="1"/>
    </xf>
    <xf numFmtId="0" fontId="8" fillId="5" borderId="22" xfId="0" applyFont="1" applyFill="1" applyBorder="1" applyAlignment="1" applyProtection="1">
      <alignment horizontal="center" vertical="center"/>
      <protection hidden="1"/>
    </xf>
    <xf numFmtId="0" fontId="29" fillId="5" borderId="21" xfId="0" applyFont="1" applyFill="1" applyBorder="1" applyAlignment="1" applyProtection="1">
      <alignment vertical="center"/>
      <protection hidden="1"/>
    </xf>
    <xf numFmtId="9" fontId="8" fillId="5" borderId="48" xfId="3" applyFont="1" applyFill="1" applyBorder="1" applyAlignment="1" applyProtection="1">
      <alignment horizontal="center" vertical="center"/>
      <protection hidden="1"/>
    </xf>
    <xf numFmtId="9" fontId="8" fillId="5" borderId="20" xfId="3" applyFont="1" applyFill="1" applyBorder="1" applyAlignment="1" applyProtection="1">
      <alignment horizontal="center" vertical="center"/>
      <protection hidden="1"/>
    </xf>
    <xf numFmtId="9" fontId="6" fillId="0" borderId="0" xfId="3" applyFont="1" applyAlignment="1" applyProtection="1">
      <alignment vertical="center"/>
      <protection hidden="1"/>
    </xf>
    <xf numFmtId="0" fontId="0" fillId="0" borderId="0" xfId="0" applyAlignment="1" applyProtection="1">
      <alignment horizontal="right" vertical="center"/>
      <protection hidden="1"/>
    </xf>
    <xf numFmtId="9" fontId="0" fillId="0" borderId="0" xfId="3" applyFont="1" applyAlignment="1" applyProtection="1">
      <alignment horizontal="left" vertical="center"/>
      <protection hidden="1"/>
    </xf>
    <xf numFmtId="0" fontId="3" fillId="0" borderId="5" xfId="0" applyFont="1" applyBorder="1" applyAlignment="1" applyProtection="1">
      <alignment vertical="center"/>
      <protection hidden="1"/>
    </xf>
    <xf numFmtId="0" fontId="7" fillId="0" borderId="0" xfId="0" applyFont="1" applyAlignment="1" applyProtection="1">
      <alignment vertical="center"/>
      <protection hidden="1"/>
    </xf>
    <xf numFmtId="9" fontId="0" fillId="0" borderId="61" xfId="3" applyFont="1" applyBorder="1" applyAlignment="1" applyProtection="1">
      <alignment horizontal="center" vertical="center"/>
      <protection hidden="1"/>
    </xf>
    <xf numFmtId="10" fontId="0" fillId="0" borderId="0" xfId="3" applyNumberFormat="1" applyFont="1" applyAlignment="1" applyProtection="1">
      <alignment vertical="center"/>
      <protection hidden="1"/>
    </xf>
    <xf numFmtId="9" fontId="0" fillId="0" borderId="62" xfId="3" applyFont="1" applyBorder="1" applyAlignment="1" applyProtection="1">
      <alignment horizontal="center" vertical="center"/>
      <protection hidden="1"/>
    </xf>
    <xf numFmtId="0" fontId="3" fillId="0" borderId="24" xfId="0" applyFont="1" applyBorder="1" applyAlignment="1" applyProtection="1">
      <alignment vertical="center"/>
      <protection hidden="1"/>
    </xf>
    <xf numFmtId="0" fontId="3" fillId="0" borderId="26" xfId="0" applyFont="1" applyBorder="1" applyAlignment="1" applyProtection="1">
      <alignment vertical="center"/>
      <protection hidden="1"/>
    </xf>
    <xf numFmtId="9" fontId="11" fillId="0" borderId="63" xfId="3" applyFont="1" applyBorder="1" applyAlignment="1" applyProtection="1">
      <alignment horizontal="center" vertical="center"/>
      <protection hidden="1"/>
    </xf>
    <xf numFmtId="0" fontId="6" fillId="0" borderId="29" xfId="0" applyFont="1" applyBorder="1" applyAlignment="1" applyProtection="1">
      <alignment vertical="center"/>
      <protection hidden="1"/>
    </xf>
    <xf numFmtId="0" fontId="0" fillId="0" borderId="31" xfId="0" applyBorder="1" applyAlignment="1" applyProtection="1">
      <alignment vertical="center"/>
      <protection hidden="1"/>
    </xf>
    <xf numFmtId="9" fontId="0" fillId="0" borderId="63" xfId="3" applyFont="1" applyBorder="1" applyAlignment="1" applyProtection="1">
      <alignment horizontal="center" vertical="center"/>
      <protection hidden="1"/>
    </xf>
    <xf numFmtId="0" fontId="37" fillId="9" borderId="22" xfId="0" applyFont="1" applyFill="1" applyBorder="1" applyAlignment="1" applyProtection="1">
      <alignment horizontal="center" vertical="center"/>
      <protection hidden="1"/>
    </xf>
    <xf numFmtId="0" fontId="38" fillId="9" borderId="21" xfId="0" applyFont="1" applyFill="1" applyBorder="1" applyAlignment="1" applyProtection="1">
      <alignment vertical="center"/>
      <protection hidden="1"/>
    </xf>
    <xf numFmtId="9" fontId="37" fillId="9" borderId="21" xfId="3" applyFont="1" applyFill="1" applyBorder="1" applyAlignment="1" applyProtection="1">
      <alignment horizontal="center" vertical="center"/>
      <protection hidden="1"/>
    </xf>
    <xf numFmtId="1" fontId="37" fillId="9" borderId="21" xfId="0" applyNumberFormat="1" applyFont="1" applyFill="1" applyBorder="1" applyAlignment="1" applyProtection="1">
      <alignment horizontal="center" vertical="center"/>
      <protection hidden="1"/>
    </xf>
    <xf numFmtId="9" fontId="37" fillId="9" borderId="20" xfId="3" applyFont="1" applyFill="1" applyBorder="1" applyAlignment="1" applyProtection="1">
      <alignment horizontal="center" vertical="center"/>
      <protection hidden="1"/>
    </xf>
    <xf numFmtId="2" fontId="0" fillId="0" borderId="0" xfId="0" applyNumberFormat="1" applyAlignment="1" applyProtection="1">
      <alignment horizontal="center" vertical="center"/>
      <protection hidden="1"/>
    </xf>
    <xf numFmtId="0" fontId="0" fillId="10" borderId="5" xfId="0" applyFill="1" applyBorder="1" applyAlignment="1" applyProtection="1">
      <alignment vertical="center"/>
      <protection hidden="1"/>
    </xf>
    <xf numFmtId="0" fontId="0" fillId="0" borderId="6" xfId="0" applyBorder="1" applyAlignment="1" applyProtection="1">
      <alignment vertical="center"/>
      <protection hidden="1"/>
    </xf>
    <xf numFmtId="4" fontId="0" fillId="0" borderId="8" xfId="0" applyNumberFormat="1" applyBorder="1" applyAlignment="1" applyProtection="1">
      <alignment horizontal="center" vertical="center"/>
      <protection hidden="1"/>
    </xf>
    <xf numFmtId="10" fontId="6" fillId="0" borderId="25" xfId="3" applyNumberFormat="1" applyFont="1" applyBorder="1" applyAlignment="1" applyProtection="1">
      <alignment vertical="center"/>
      <protection hidden="1"/>
    </xf>
    <xf numFmtId="10" fontId="6" fillId="0" borderId="1" xfId="3" applyNumberFormat="1" applyFont="1" applyBorder="1" applyAlignment="1" applyProtection="1">
      <alignment vertical="center"/>
      <protection hidden="1"/>
    </xf>
    <xf numFmtId="4" fontId="6" fillId="0" borderId="1" xfId="0" applyNumberFormat="1" applyFont="1" applyBorder="1" applyAlignment="1" applyProtection="1">
      <alignment horizontal="center" vertical="center"/>
      <protection hidden="1"/>
    </xf>
    <xf numFmtId="4" fontId="6" fillId="0" borderId="1" xfId="3" applyNumberFormat="1" applyFont="1" applyBorder="1" applyAlignment="1" applyProtection="1">
      <alignment horizontal="center" vertical="center"/>
      <protection hidden="1"/>
    </xf>
    <xf numFmtId="10" fontId="10" fillId="0" borderId="0" xfId="3" applyNumberFormat="1" applyFont="1" applyAlignment="1" applyProtection="1">
      <alignment horizontal="center" vertical="center"/>
      <protection hidden="1"/>
    </xf>
    <xf numFmtId="0" fontId="9" fillId="11" borderId="22" xfId="0" applyFont="1" applyFill="1" applyBorder="1" applyAlignment="1" applyProtection="1">
      <alignment horizontal="center" vertical="center"/>
      <protection hidden="1"/>
    </xf>
    <xf numFmtId="0" fontId="27" fillId="11" borderId="21" xfId="0" applyFont="1" applyFill="1" applyBorder="1" applyAlignment="1" applyProtection="1">
      <alignment vertical="center"/>
      <protection hidden="1"/>
    </xf>
    <xf numFmtId="9" fontId="9" fillId="11" borderId="21" xfId="3" applyFont="1" applyFill="1" applyBorder="1" applyAlignment="1" applyProtection="1">
      <alignment horizontal="center" vertical="center"/>
      <protection hidden="1"/>
    </xf>
    <xf numFmtId="1" fontId="9" fillId="11" borderId="21" xfId="0" applyNumberFormat="1" applyFont="1" applyFill="1" applyBorder="1" applyAlignment="1" applyProtection="1">
      <alignment horizontal="center" vertical="center"/>
      <protection hidden="1"/>
    </xf>
    <xf numFmtId="9" fontId="9" fillId="11" borderId="20" xfId="3" applyFont="1" applyFill="1" applyBorder="1" applyAlignment="1" applyProtection="1">
      <alignment horizontal="center" vertical="center"/>
      <protection hidden="1"/>
    </xf>
    <xf numFmtId="2" fontId="10" fillId="0" borderId="0" xfId="0" applyNumberFormat="1" applyFont="1" applyAlignment="1" applyProtection="1">
      <alignment horizontal="center" vertical="center"/>
      <protection hidden="1"/>
    </xf>
    <xf numFmtId="2" fontId="10" fillId="0" borderId="0" xfId="0" applyNumberFormat="1" applyFont="1" applyAlignment="1" applyProtection="1">
      <alignment vertical="center"/>
      <protection hidden="1"/>
    </xf>
    <xf numFmtId="0" fontId="10" fillId="4" borderId="64" xfId="0" applyFont="1" applyFill="1" applyBorder="1" applyAlignment="1" applyProtection="1">
      <alignment vertical="center"/>
      <protection hidden="1"/>
    </xf>
    <xf numFmtId="0" fontId="10" fillId="4" borderId="12" xfId="0" applyFont="1" applyFill="1" applyBorder="1" applyAlignment="1" applyProtection="1">
      <alignment vertical="center"/>
      <protection hidden="1"/>
    </xf>
    <xf numFmtId="0" fontId="51" fillId="4" borderId="12" xfId="0" applyFont="1" applyFill="1" applyBorder="1" applyAlignment="1" applyProtection="1">
      <alignment horizontal="right" vertical="center"/>
      <protection hidden="1"/>
    </xf>
    <xf numFmtId="0" fontId="10" fillId="4" borderId="65" xfId="0" applyFont="1" applyFill="1" applyBorder="1" applyAlignment="1" applyProtection="1">
      <alignment vertical="center"/>
      <protection hidden="1"/>
    </xf>
    <xf numFmtId="0" fontId="10" fillId="4" borderId="66" xfId="0" applyFont="1" applyFill="1" applyBorder="1" applyAlignment="1" applyProtection="1">
      <alignment vertical="center"/>
      <protection hidden="1"/>
    </xf>
    <xf numFmtId="0" fontId="51" fillId="4" borderId="66" xfId="0" applyFont="1" applyFill="1" applyBorder="1" applyAlignment="1" applyProtection="1">
      <alignment horizontal="right" vertical="center"/>
      <protection hidden="1"/>
    </xf>
    <xf numFmtId="0" fontId="11" fillId="0" borderId="29" xfId="0" applyFont="1" applyBorder="1" applyAlignment="1" applyProtection="1">
      <alignment vertical="center"/>
      <protection hidden="1"/>
    </xf>
    <xf numFmtId="9" fontId="15" fillId="4" borderId="12" xfId="3" applyFont="1" applyFill="1" applyBorder="1" applyAlignment="1" applyProtection="1">
      <alignment horizontal="center" vertical="center"/>
      <protection hidden="1"/>
    </xf>
    <xf numFmtId="0" fontId="0" fillId="0" borderId="30" xfId="0" applyBorder="1" applyAlignment="1" applyProtection="1">
      <alignment vertical="center"/>
      <protection hidden="1"/>
    </xf>
    <xf numFmtId="0" fontId="0" fillId="0" borderId="7" xfId="0" applyBorder="1" applyAlignment="1" applyProtection="1">
      <alignment vertical="center"/>
      <protection hidden="1"/>
    </xf>
    <xf numFmtId="0" fontId="12" fillId="0" borderId="7" xfId="0" applyFont="1" applyBorder="1" applyAlignment="1" applyProtection="1">
      <alignment vertical="center"/>
      <protection hidden="1"/>
    </xf>
    <xf numFmtId="0" fontId="9" fillId="4" borderId="68" xfId="0" applyFont="1" applyFill="1" applyBorder="1" applyAlignment="1" applyProtection="1">
      <alignment horizontal="center" vertical="center"/>
      <protection hidden="1"/>
    </xf>
    <xf numFmtId="0" fontId="11" fillId="0" borderId="5" xfId="0" applyFont="1" applyBorder="1" applyAlignment="1" applyProtection="1">
      <alignment vertical="center"/>
      <protection hidden="1"/>
    </xf>
    <xf numFmtId="0" fontId="11" fillId="0" borderId="9" xfId="0" applyFont="1" applyBorder="1" applyAlignment="1" applyProtection="1">
      <alignment vertical="center"/>
      <protection hidden="1"/>
    </xf>
    <xf numFmtId="0" fontId="9" fillId="4" borderId="43" xfId="0" applyFont="1" applyFill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vertical="center"/>
      <protection hidden="1"/>
    </xf>
    <xf numFmtId="0" fontId="51" fillId="4" borderId="14" xfId="0" applyFont="1" applyFill="1" applyBorder="1" applyAlignment="1" applyProtection="1">
      <alignment horizontal="center" vertical="center"/>
      <protection hidden="1"/>
    </xf>
    <xf numFmtId="0" fontId="6" fillId="0" borderId="5" xfId="0" applyFont="1" applyBorder="1" applyAlignment="1" applyProtection="1">
      <alignment vertical="center"/>
      <protection hidden="1"/>
    </xf>
    <xf numFmtId="0" fontId="0" fillId="0" borderId="7" xfId="0" applyBorder="1" applyProtection="1">
      <protection hidden="1"/>
    </xf>
    <xf numFmtId="0" fontId="12" fillId="0" borderId="7" xfId="0" applyFont="1" applyBorder="1" applyProtection="1">
      <protection hidden="1"/>
    </xf>
    <xf numFmtId="0" fontId="0" fillId="0" borderId="6" xfId="0" applyBorder="1" applyProtection="1">
      <protection hidden="1"/>
    </xf>
    <xf numFmtId="0" fontId="51" fillId="4" borderId="69" xfId="0" applyFont="1" applyFill="1" applyBorder="1" applyAlignment="1" applyProtection="1">
      <alignment horizontal="center" vertical="center"/>
      <protection hidden="1"/>
    </xf>
    <xf numFmtId="1" fontId="14" fillId="3" borderId="0" xfId="0" applyNumberFormat="1" applyFont="1" applyFill="1" applyAlignment="1" applyProtection="1">
      <alignment horizontal="center" vertical="center"/>
      <protection hidden="1"/>
    </xf>
    <xf numFmtId="0" fontId="17" fillId="0" borderId="0" xfId="0" applyFont="1" applyAlignment="1">
      <alignment horizontal="center"/>
    </xf>
    <xf numFmtId="0" fontId="12" fillId="0" borderId="0" xfId="0" applyFont="1"/>
    <xf numFmtId="3" fontId="12" fillId="0" borderId="0" xfId="0" applyNumberFormat="1" applyFont="1" applyAlignment="1">
      <alignment horizontal="center"/>
    </xf>
    <xf numFmtId="9" fontId="12" fillId="0" borderId="0" xfId="3" applyFont="1" applyAlignment="1">
      <alignment horizontal="center"/>
    </xf>
    <xf numFmtId="0" fontId="89" fillId="0" borderId="0" xfId="0" applyFont="1"/>
    <xf numFmtId="0" fontId="90" fillId="0" borderId="0" xfId="0" applyFont="1" applyAlignment="1">
      <alignment horizontal="center"/>
    </xf>
    <xf numFmtId="3" fontId="91" fillId="0" borderId="0" xfId="0" applyNumberFormat="1" applyFont="1" applyAlignment="1">
      <alignment horizontal="center"/>
    </xf>
    <xf numFmtId="0" fontId="92" fillId="0" borderId="0" xfId="0" applyFont="1" applyAlignment="1">
      <alignment horizontal="center"/>
    </xf>
    <xf numFmtId="3" fontId="93" fillId="0" borderId="0" xfId="0" applyNumberFormat="1" applyFont="1" applyAlignment="1">
      <alignment horizontal="center"/>
    </xf>
    <xf numFmtId="3" fontId="12" fillId="0" borderId="7" xfId="0" applyNumberFormat="1" applyFont="1" applyBorder="1" applyAlignment="1">
      <alignment horizontal="center"/>
    </xf>
    <xf numFmtId="3" fontId="12" fillId="0" borderId="1" xfId="0" applyNumberFormat="1" applyFont="1" applyBorder="1" applyAlignment="1">
      <alignment horizontal="center"/>
    </xf>
    <xf numFmtId="9" fontId="12" fillId="0" borderId="1" xfId="3" applyFont="1" applyBorder="1" applyAlignment="1">
      <alignment horizontal="center"/>
    </xf>
    <xf numFmtId="3" fontId="91" fillId="0" borderId="1" xfId="0" applyNumberFormat="1" applyFont="1" applyBorder="1" applyAlignment="1">
      <alignment horizontal="center"/>
    </xf>
    <xf numFmtId="3" fontId="93" fillId="0" borderId="1" xfId="0" applyNumberFormat="1" applyFont="1" applyBorder="1" applyAlignment="1">
      <alignment horizontal="center"/>
    </xf>
    <xf numFmtId="0" fontId="94" fillId="5" borderId="0" xfId="0" applyFont="1" applyFill="1" applyAlignment="1">
      <alignment horizontal="center"/>
    </xf>
    <xf numFmtId="0" fontId="95" fillId="5" borderId="0" xfId="0" applyFont="1" applyFill="1" applyAlignment="1">
      <alignment horizontal="center"/>
    </xf>
    <xf numFmtId="0" fontId="95" fillId="5" borderId="1" xfId="0" applyFont="1" applyFill="1" applyBorder="1" applyAlignment="1">
      <alignment horizontal="center"/>
    </xf>
    <xf numFmtId="0" fontId="96" fillId="5" borderId="0" xfId="0" applyFont="1" applyFill="1" applyAlignment="1">
      <alignment horizontal="center"/>
    </xf>
    <xf numFmtId="3" fontId="97" fillId="5" borderId="0" xfId="0" applyNumberFormat="1" applyFont="1" applyFill="1" applyAlignment="1">
      <alignment horizontal="center"/>
    </xf>
    <xf numFmtId="3" fontId="97" fillId="5" borderId="2" xfId="0" applyNumberFormat="1" applyFont="1" applyFill="1" applyBorder="1" applyAlignment="1">
      <alignment horizontal="center"/>
    </xf>
    <xf numFmtId="10" fontId="12" fillId="0" borderId="0" xfId="3" applyNumberFormat="1" applyFont="1"/>
    <xf numFmtId="0" fontId="100" fillId="0" borderId="0" xfId="1" applyNumberFormat="1" applyFont="1"/>
    <xf numFmtId="0" fontId="12" fillId="0" borderId="0" xfId="1" applyNumberFormat="1" applyFont="1" applyAlignment="1">
      <alignment horizontal="right"/>
    </xf>
    <xf numFmtId="10" fontId="12" fillId="0" borderId="0" xfId="3" applyNumberFormat="1" applyFont="1" applyAlignment="1">
      <alignment horizontal="right"/>
    </xf>
    <xf numFmtId="0" fontId="11" fillId="0" borderId="9" xfId="1" applyNumberFormat="1" applyFont="1" applyBorder="1" applyAlignment="1">
      <alignment horizontal="right"/>
    </xf>
    <xf numFmtId="9" fontId="115" fillId="0" borderId="9" xfId="3" applyFont="1" applyBorder="1"/>
    <xf numFmtId="0" fontId="11" fillId="0" borderId="0" xfId="1" applyNumberFormat="1" applyFont="1" applyAlignment="1">
      <alignment horizontal="right"/>
    </xf>
    <xf numFmtId="9" fontId="115" fillId="0" borderId="0" xfId="3" applyFont="1"/>
    <xf numFmtId="9" fontId="103" fillId="0" borderId="0" xfId="3" applyFont="1" applyAlignment="1">
      <alignment horizontal="center"/>
    </xf>
    <xf numFmtId="10" fontId="12" fillId="5" borderId="0" xfId="3" applyNumberFormat="1" applyFont="1" applyFill="1" applyAlignment="1" applyProtection="1">
      <alignment horizontal="center"/>
      <protection locked="0"/>
    </xf>
    <xf numFmtId="10" fontId="12" fillId="5" borderId="0" xfId="3" applyNumberFormat="1" applyFont="1" applyFill="1" applyAlignment="1" applyProtection="1">
      <alignment horizontal="right"/>
      <protection locked="0"/>
    </xf>
    <xf numFmtId="0" fontId="7" fillId="0" borderId="73" xfId="0" applyFont="1" applyBorder="1" applyAlignment="1" applyProtection="1">
      <alignment horizontal="center"/>
      <protection hidden="1"/>
    </xf>
    <xf numFmtId="0" fontId="32" fillId="7" borderId="74" xfId="0" applyFont="1" applyFill="1" applyBorder="1" applyAlignment="1" applyProtection="1">
      <alignment horizontal="center"/>
      <protection hidden="1"/>
    </xf>
    <xf numFmtId="49" fontId="7" fillId="5" borderId="75" xfId="0" applyNumberFormat="1" applyFont="1" applyFill="1" applyBorder="1" applyAlignment="1" applyProtection="1">
      <alignment horizontal="center"/>
      <protection hidden="1"/>
    </xf>
    <xf numFmtId="0" fontId="1" fillId="0" borderId="23" xfId="0" applyFont="1" applyBorder="1" applyProtection="1">
      <protection hidden="1"/>
    </xf>
    <xf numFmtId="0" fontId="3" fillId="0" borderId="29" xfId="0" applyFont="1" applyBorder="1" applyProtection="1">
      <protection hidden="1"/>
    </xf>
    <xf numFmtId="0" fontId="0" fillId="0" borderId="31" xfId="0" applyBorder="1" applyProtection="1">
      <protection hidden="1"/>
    </xf>
    <xf numFmtId="2" fontId="0" fillId="0" borderId="33" xfId="0" applyNumberFormat="1" applyBorder="1" applyProtection="1">
      <protection hidden="1"/>
    </xf>
    <xf numFmtId="0" fontId="3" fillId="0" borderId="50" xfId="0" applyFont="1" applyBorder="1" applyProtection="1">
      <protection hidden="1"/>
    </xf>
    <xf numFmtId="0" fontId="12" fillId="0" borderId="5" xfId="0" applyFont="1" applyBorder="1" applyProtection="1">
      <protection hidden="1"/>
    </xf>
    <xf numFmtId="10" fontId="11" fillId="0" borderId="9" xfId="3" applyNumberFormat="1" applyFont="1" applyBorder="1" applyProtection="1">
      <protection hidden="1"/>
    </xf>
    <xf numFmtId="0" fontId="11" fillId="0" borderId="23" xfId="0" applyFont="1" applyBorder="1" applyProtection="1">
      <protection hidden="1"/>
    </xf>
    <xf numFmtId="0" fontId="12" fillId="10" borderId="7" xfId="0" applyFont="1" applyFill="1" applyBorder="1" applyProtection="1">
      <protection hidden="1"/>
    </xf>
    <xf numFmtId="1" fontId="51" fillId="4" borderId="69" xfId="0" applyNumberFormat="1" applyFont="1" applyFill="1" applyBorder="1" applyAlignment="1" applyProtection="1">
      <alignment horizontal="center" vertical="center"/>
      <protection hidden="1"/>
    </xf>
    <xf numFmtId="0" fontId="83" fillId="0" borderId="0" xfId="0" applyFont="1" applyAlignment="1" applyProtection="1">
      <alignment vertical="center"/>
      <protection hidden="1"/>
    </xf>
    <xf numFmtId="0" fontId="84" fillId="0" borderId="0" xfId="0" applyFont="1" applyAlignment="1" applyProtection="1">
      <alignment horizontal="right" vertical="center"/>
      <protection hidden="1"/>
    </xf>
    <xf numFmtId="1" fontId="84" fillId="0" borderId="0" xfId="0" applyNumberFormat="1" applyFont="1" applyAlignment="1" applyProtection="1">
      <alignment horizontal="center" vertical="center"/>
      <protection hidden="1"/>
    </xf>
    <xf numFmtId="0" fontId="143" fillId="0" borderId="0" xfId="0" applyFont="1" applyAlignment="1" applyProtection="1">
      <alignment vertical="center"/>
      <protection hidden="1"/>
    </xf>
    <xf numFmtId="0" fontId="0" fillId="0" borderId="1" xfId="0" applyBorder="1" applyAlignment="1" applyProtection="1">
      <alignment vertical="center"/>
      <protection hidden="1"/>
    </xf>
    <xf numFmtId="0" fontId="15" fillId="4" borderId="12" xfId="0" applyFont="1" applyFill="1" applyBorder="1" applyAlignment="1" applyProtection="1">
      <alignment vertical="center"/>
      <protection hidden="1"/>
    </xf>
    <xf numFmtId="2" fontId="7" fillId="0" borderId="7" xfId="0" applyNumberFormat="1" applyFont="1" applyBorder="1" applyAlignment="1" applyProtection="1">
      <alignment horizontal="right" vertical="center"/>
      <protection hidden="1"/>
    </xf>
    <xf numFmtId="0" fontId="32" fillId="7" borderId="74" xfId="0" applyFont="1" applyFill="1" applyBorder="1" applyAlignment="1" applyProtection="1">
      <alignment horizontal="center" vertical="center"/>
      <protection hidden="1"/>
    </xf>
    <xf numFmtId="0" fontId="8" fillId="0" borderId="53" xfId="0" applyFont="1" applyBorder="1" applyAlignment="1" applyProtection="1">
      <alignment horizontal="center" vertical="center"/>
      <protection hidden="1"/>
    </xf>
    <xf numFmtId="49" fontId="32" fillId="7" borderId="18" xfId="0" applyNumberFormat="1" applyFont="1" applyFill="1" applyBorder="1" applyAlignment="1" applyProtection="1">
      <alignment horizontal="center" vertical="center"/>
      <protection hidden="1"/>
    </xf>
    <xf numFmtId="0" fontId="33" fillId="7" borderId="21" xfId="0" applyFont="1" applyFill="1" applyBorder="1" applyAlignment="1" applyProtection="1">
      <alignment horizontal="center" vertical="center"/>
      <protection hidden="1"/>
    </xf>
    <xf numFmtId="49" fontId="7" fillId="5" borderId="75" xfId="0" applyNumberFormat="1" applyFont="1" applyFill="1" applyBorder="1" applyAlignment="1" applyProtection="1">
      <alignment horizontal="center" vertical="center"/>
      <protection hidden="1"/>
    </xf>
    <xf numFmtId="0" fontId="12" fillId="5" borderId="20" xfId="0" applyFont="1" applyFill="1" applyBorder="1" applyAlignment="1" applyProtection="1">
      <alignment horizontal="center" vertical="center"/>
      <protection hidden="1"/>
    </xf>
    <xf numFmtId="9" fontId="0" fillId="0" borderId="76" xfId="3" applyFont="1" applyBorder="1" applyAlignment="1" applyProtection="1">
      <alignment horizontal="center" vertical="center"/>
      <protection hidden="1"/>
    </xf>
    <xf numFmtId="4" fontId="0" fillId="0" borderId="76" xfId="0" applyNumberFormat="1" applyBorder="1" applyAlignment="1" applyProtection="1">
      <alignment horizontal="center" vertical="center"/>
      <protection hidden="1"/>
    </xf>
    <xf numFmtId="4" fontId="0" fillId="0" borderId="17" xfId="3" applyNumberFormat="1" applyFont="1" applyBorder="1" applyAlignment="1" applyProtection="1">
      <alignment horizontal="center" vertical="center"/>
      <protection hidden="1"/>
    </xf>
    <xf numFmtId="9" fontId="0" fillId="0" borderId="55" xfId="3" applyFont="1" applyBorder="1" applyAlignment="1" applyProtection="1">
      <alignment horizontal="center" vertical="center"/>
      <protection hidden="1"/>
    </xf>
    <xf numFmtId="9" fontId="0" fillId="0" borderId="72" xfId="3" applyFont="1" applyBorder="1" applyAlignment="1" applyProtection="1">
      <alignment horizontal="center" vertical="center"/>
      <protection hidden="1"/>
    </xf>
    <xf numFmtId="4" fontId="0" fillId="0" borderId="72" xfId="0" applyNumberFormat="1" applyBorder="1" applyAlignment="1" applyProtection="1">
      <alignment horizontal="center" vertical="center"/>
      <protection hidden="1"/>
    </xf>
    <xf numFmtId="4" fontId="0" fillId="0" borderId="79" xfId="3" applyNumberFormat="1" applyFont="1" applyBorder="1" applyAlignment="1" applyProtection="1">
      <alignment horizontal="center" vertical="center"/>
      <protection hidden="1"/>
    </xf>
    <xf numFmtId="9" fontId="0" fillId="0" borderId="24" xfId="3" applyFont="1" applyBorder="1" applyAlignment="1" applyProtection="1">
      <alignment horizontal="center" vertical="center"/>
      <protection hidden="1"/>
    </xf>
    <xf numFmtId="9" fontId="11" fillId="0" borderId="80" xfId="3" applyFont="1" applyBorder="1" applyAlignment="1" applyProtection="1">
      <alignment horizontal="center" vertical="center"/>
      <protection hidden="1"/>
    </xf>
    <xf numFmtId="4" fontId="11" fillId="0" borderId="80" xfId="0" applyNumberFormat="1" applyFont="1" applyBorder="1" applyAlignment="1" applyProtection="1">
      <alignment horizontal="center" vertical="center"/>
      <protection hidden="1"/>
    </xf>
    <xf numFmtId="4" fontId="11" fillId="0" borderId="81" xfId="3" applyNumberFormat="1" applyFont="1" applyBorder="1" applyAlignment="1" applyProtection="1">
      <alignment horizontal="center" vertical="center"/>
      <protection hidden="1"/>
    </xf>
    <xf numFmtId="9" fontId="11" fillId="0" borderId="31" xfId="3" applyFont="1" applyBorder="1" applyAlignment="1" applyProtection="1">
      <alignment horizontal="center" vertical="center"/>
      <protection hidden="1"/>
    </xf>
    <xf numFmtId="9" fontId="0" fillId="0" borderId="77" xfId="3" applyFont="1" applyBorder="1" applyAlignment="1" applyProtection="1">
      <alignment horizontal="center" vertical="center"/>
      <protection hidden="1"/>
    </xf>
    <xf numFmtId="4" fontId="0" fillId="0" borderId="77" xfId="0" applyNumberFormat="1" applyBorder="1" applyAlignment="1" applyProtection="1">
      <alignment horizontal="center" vertical="center"/>
      <protection hidden="1"/>
    </xf>
    <xf numFmtId="4" fontId="0" fillId="0" borderId="78" xfId="3" applyNumberFormat="1" applyFont="1" applyBorder="1" applyAlignment="1" applyProtection="1">
      <alignment horizontal="center" vertical="center"/>
      <protection hidden="1"/>
    </xf>
    <xf numFmtId="2" fontId="1" fillId="0" borderId="33" xfId="0" applyNumberFormat="1" applyFont="1" applyBorder="1" applyAlignment="1" applyProtection="1">
      <alignment vertical="center"/>
      <protection hidden="1"/>
    </xf>
    <xf numFmtId="9" fontId="3" fillId="0" borderId="80" xfId="3" applyFont="1" applyBorder="1" applyAlignment="1" applyProtection="1">
      <alignment horizontal="center" vertical="center"/>
      <protection hidden="1"/>
    </xf>
    <xf numFmtId="9" fontId="0" fillId="0" borderId="31" xfId="3" applyFont="1" applyBorder="1" applyAlignment="1" applyProtection="1">
      <alignment horizontal="center" vertical="center"/>
      <protection hidden="1"/>
    </xf>
    <xf numFmtId="4" fontId="6" fillId="0" borderId="72" xfId="0" applyNumberFormat="1" applyFont="1" applyBorder="1" applyAlignment="1" applyProtection="1">
      <alignment horizontal="center" vertical="center"/>
      <protection hidden="1"/>
    </xf>
    <xf numFmtId="4" fontId="6" fillId="0" borderId="79" xfId="3" applyNumberFormat="1" applyFont="1" applyBorder="1" applyAlignment="1" applyProtection="1">
      <alignment horizontal="center" vertical="center"/>
      <protection hidden="1"/>
    </xf>
    <xf numFmtId="4" fontId="0" fillId="0" borderId="58" xfId="3" applyNumberFormat="1" applyFont="1" applyBorder="1" applyAlignment="1" applyProtection="1">
      <alignment horizontal="center" vertical="center"/>
      <protection hidden="1"/>
    </xf>
    <xf numFmtId="9" fontId="0" fillId="0" borderId="58" xfId="3" applyFont="1" applyBorder="1" applyAlignment="1" applyProtection="1">
      <alignment horizontal="center" vertical="center"/>
      <protection hidden="1"/>
    </xf>
    <xf numFmtId="0" fontId="6" fillId="10" borderId="5" xfId="0" applyFont="1" applyFill="1" applyBorder="1" applyAlignment="1" applyProtection="1">
      <alignment vertical="center"/>
      <protection hidden="1"/>
    </xf>
    <xf numFmtId="9" fontId="1" fillId="0" borderId="2" xfId="3" applyFont="1" applyBorder="1" applyAlignment="1" applyProtection="1">
      <alignment horizontal="center" vertical="center"/>
      <protection hidden="1"/>
    </xf>
    <xf numFmtId="0" fontId="0" fillId="5" borderId="7" xfId="0" applyFill="1" applyBorder="1" applyAlignment="1" applyProtection="1">
      <alignment vertical="center"/>
      <protection locked="0" hidden="1"/>
    </xf>
    <xf numFmtId="0" fontId="0" fillId="5" borderId="30" xfId="0" applyFill="1" applyBorder="1" applyAlignment="1" applyProtection="1">
      <alignment vertical="center"/>
      <protection locked="0" hidden="1"/>
    </xf>
    <xf numFmtId="2" fontId="0" fillId="5" borderId="9" xfId="0" applyNumberFormat="1" applyFill="1" applyBorder="1" applyAlignment="1" applyProtection="1">
      <alignment vertical="center"/>
      <protection locked="0" hidden="1"/>
    </xf>
    <xf numFmtId="49" fontId="7" fillId="5" borderId="82" xfId="0" applyNumberFormat="1" applyFont="1" applyFill="1" applyBorder="1" applyAlignment="1" applyProtection="1">
      <alignment horizontal="center" vertical="center"/>
      <protection hidden="1"/>
    </xf>
    <xf numFmtId="0" fontId="11" fillId="0" borderId="77" xfId="0" applyFont="1" applyBorder="1" applyAlignment="1" applyProtection="1">
      <alignment vertical="center"/>
      <protection hidden="1"/>
    </xf>
    <xf numFmtId="0" fontId="15" fillId="4" borderId="64" xfId="0" applyFont="1" applyFill="1" applyBorder="1" applyAlignment="1" applyProtection="1">
      <alignment vertical="center"/>
      <protection hidden="1"/>
    </xf>
    <xf numFmtId="49" fontId="7" fillId="5" borderId="79" xfId="0" applyNumberFormat="1" applyFont="1" applyFill="1" applyBorder="1" applyAlignment="1" applyProtection="1">
      <alignment horizontal="center" vertical="center"/>
      <protection hidden="1"/>
    </xf>
    <xf numFmtId="0" fontId="71" fillId="0" borderId="0" xfId="0" applyFont="1" applyAlignment="1" applyProtection="1">
      <alignment horizontal="right" vertical="center"/>
      <protection hidden="1"/>
    </xf>
    <xf numFmtId="0" fontId="144" fillId="0" borderId="70" xfId="0" applyFont="1" applyBorder="1"/>
    <xf numFmtId="0" fontId="145" fillId="0" borderId="53" xfId="0" applyFont="1" applyBorder="1"/>
    <xf numFmtId="0" fontId="144" fillId="0" borderId="53" xfId="0" applyFont="1" applyBorder="1"/>
    <xf numFmtId="0" fontId="144" fillId="0" borderId="52" xfId="0" applyFont="1" applyBorder="1"/>
    <xf numFmtId="0" fontId="144" fillId="0" borderId="50" xfId="0" applyFont="1" applyBorder="1"/>
    <xf numFmtId="0" fontId="146" fillId="0" borderId="0" xfId="0" applyFont="1"/>
    <xf numFmtId="0" fontId="144" fillId="0" borderId="71" xfId="0" applyFont="1" applyBorder="1"/>
    <xf numFmtId="15" fontId="144" fillId="0" borderId="0" xfId="0" applyNumberFormat="1" applyFont="1"/>
    <xf numFmtId="0" fontId="150" fillId="0" borderId="0" xfId="0" applyFont="1" applyAlignment="1">
      <alignment horizontal="right"/>
    </xf>
    <xf numFmtId="10" fontId="151" fillId="0" borderId="0" xfId="3" applyNumberFormat="1" applyFont="1"/>
    <xf numFmtId="0" fontId="151" fillId="0" borderId="0" xfId="0" applyFont="1"/>
    <xf numFmtId="0" fontId="148" fillId="0" borderId="0" xfId="0" applyFont="1"/>
    <xf numFmtId="0" fontId="152" fillId="0" borderId="0" xfId="0" applyFont="1" applyAlignment="1">
      <alignment horizontal="right"/>
    </xf>
    <xf numFmtId="10" fontId="153" fillId="0" borderId="0" xfId="3" applyNumberFormat="1" applyFont="1"/>
    <xf numFmtId="0" fontId="144" fillId="0" borderId="0" xfId="0" applyFont="1" applyAlignment="1">
      <alignment horizontal="right"/>
    </xf>
    <xf numFmtId="0" fontId="144" fillId="0" borderId="0" xfId="0" applyFont="1" applyAlignment="1">
      <alignment horizontal="left"/>
    </xf>
    <xf numFmtId="0" fontId="144" fillId="10" borderId="0" xfId="0" applyFont="1" applyFill="1" applyProtection="1">
      <protection locked="0"/>
    </xf>
    <xf numFmtId="0" fontId="144" fillId="0" borderId="9" xfId="0" applyFont="1" applyBorder="1"/>
    <xf numFmtId="0" fontId="154" fillId="0" borderId="0" xfId="1" applyNumberFormat="1" applyFont="1" applyAlignment="1">
      <alignment horizontal="right"/>
    </xf>
    <xf numFmtId="0" fontId="155" fillId="0" borderId="0" xfId="0" applyFont="1" applyAlignment="1">
      <alignment horizontal="right"/>
    </xf>
    <xf numFmtId="0" fontId="156" fillId="0" borderId="0" xfId="0" applyFont="1"/>
    <xf numFmtId="0" fontId="157" fillId="0" borderId="0" xfId="0" applyFont="1"/>
    <xf numFmtId="0" fontId="158" fillId="0" borderId="0" xfId="1" applyNumberFormat="1" applyFont="1" applyAlignment="1">
      <alignment horizontal="right"/>
    </xf>
    <xf numFmtId="0" fontId="152" fillId="0" borderId="0" xfId="0" applyFont="1"/>
    <xf numFmtId="0" fontId="159" fillId="0" borderId="0" xfId="0" applyFont="1"/>
    <xf numFmtId="0" fontId="152" fillId="10" borderId="9" xfId="0" applyFont="1" applyFill="1" applyBorder="1" applyAlignment="1" applyProtection="1">
      <alignment horizontal="center"/>
      <protection locked="0"/>
    </xf>
    <xf numFmtId="0" fontId="160" fillId="10" borderId="9" xfId="0" applyFont="1" applyFill="1" applyBorder="1" applyAlignment="1" applyProtection="1">
      <alignment horizontal="center"/>
      <protection locked="0"/>
    </xf>
    <xf numFmtId="0" fontId="162" fillId="0" borderId="0" xfId="0" applyFont="1"/>
    <xf numFmtId="0" fontId="163" fillId="0" borderId="0" xfId="0" applyFont="1"/>
    <xf numFmtId="0" fontId="164" fillId="0" borderId="0" xfId="1" applyNumberFormat="1" applyFont="1" applyAlignment="1">
      <alignment horizontal="center"/>
    </xf>
    <xf numFmtId="0" fontId="163" fillId="0" borderId="0" xfId="0" applyFont="1" applyAlignment="1">
      <alignment horizontal="right"/>
    </xf>
    <xf numFmtId="0" fontId="147" fillId="0" borderId="0" xfId="0" applyFont="1"/>
    <xf numFmtId="9" fontId="166" fillId="0" borderId="83" xfId="3" applyFont="1" applyBorder="1" applyAlignment="1">
      <alignment horizontal="center"/>
    </xf>
    <xf numFmtId="0" fontId="144" fillId="0" borderId="18" xfId="0" applyFont="1" applyBorder="1"/>
    <xf numFmtId="0" fontId="144" fillId="0" borderId="59" xfId="0" applyFont="1" applyBorder="1"/>
    <xf numFmtId="0" fontId="144" fillId="0" borderId="58" xfId="0" applyFont="1" applyBorder="1"/>
    <xf numFmtId="0" fontId="144" fillId="0" borderId="70" xfId="0" applyFont="1" applyBorder="1" applyProtection="1">
      <protection hidden="1"/>
    </xf>
    <xf numFmtId="0" fontId="145" fillId="0" borderId="53" xfId="0" applyFont="1" applyBorder="1" applyProtection="1">
      <protection hidden="1"/>
    </xf>
    <xf numFmtId="0" fontId="144" fillId="0" borderId="53" xfId="0" applyFont="1" applyBorder="1" applyProtection="1">
      <protection hidden="1"/>
    </xf>
    <xf numFmtId="0" fontId="144" fillId="0" borderId="52" xfId="0" applyFont="1" applyBorder="1" applyProtection="1">
      <protection hidden="1"/>
    </xf>
    <xf numFmtId="0" fontId="144" fillId="0" borderId="50" xfId="0" applyFont="1" applyBorder="1" applyProtection="1">
      <protection hidden="1"/>
    </xf>
    <xf numFmtId="0" fontId="144" fillId="0" borderId="0" xfId="0" applyFont="1" applyProtection="1">
      <protection hidden="1"/>
    </xf>
    <xf numFmtId="0" fontId="146" fillId="0" borderId="0" xfId="0" applyFont="1" applyProtection="1">
      <protection hidden="1"/>
    </xf>
    <xf numFmtId="0" fontId="144" fillId="0" borderId="71" xfId="0" applyFont="1" applyBorder="1" applyProtection="1">
      <protection hidden="1"/>
    </xf>
    <xf numFmtId="0" fontId="148" fillId="0" borderId="0" xfId="0" applyFont="1" applyProtection="1">
      <protection hidden="1"/>
    </xf>
    <xf numFmtId="0" fontId="144" fillId="0" borderId="0" xfId="0" applyFont="1" applyAlignment="1" applyProtection="1">
      <alignment horizontal="right"/>
      <protection hidden="1"/>
    </xf>
    <xf numFmtId="0" fontId="144" fillId="0" borderId="0" xfId="0" applyFont="1" applyAlignment="1" applyProtection="1">
      <alignment horizontal="left"/>
      <protection hidden="1"/>
    </xf>
    <xf numFmtId="0" fontId="144" fillId="0" borderId="9" xfId="0" applyFont="1" applyBorder="1" applyProtection="1">
      <protection hidden="1"/>
    </xf>
    <xf numFmtId="0" fontId="155" fillId="0" borderId="0" xfId="0" applyFont="1" applyAlignment="1" applyProtection="1">
      <alignment horizontal="right"/>
      <protection hidden="1"/>
    </xf>
    <xf numFmtId="0" fontId="156" fillId="0" borderId="0" xfId="0" applyFont="1" applyProtection="1">
      <protection hidden="1"/>
    </xf>
    <xf numFmtId="0" fontId="157" fillId="0" borderId="0" xfId="0" applyFont="1" applyProtection="1">
      <protection hidden="1"/>
    </xf>
    <xf numFmtId="0" fontId="152" fillId="0" borderId="0" xfId="0" applyFont="1" applyProtection="1">
      <protection hidden="1"/>
    </xf>
    <xf numFmtId="0" fontId="159" fillId="0" borderId="0" xfId="0" applyFont="1" applyProtection="1">
      <protection hidden="1"/>
    </xf>
    <xf numFmtId="0" fontId="152" fillId="10" borderId="9" xfId="0" applyFont="1" applyFill="1" applyBorder="1" applyAlignment="1" applyProtection="1">
      <alignment horizontal="center"/>
      <protection hidden="1"/>
    </xf>
    <xf numFmtId="0" fontId="160" fillId="10" borderId="9" xfId="0" applyFont="1" applyFill="1" applyBorder="1" applyAlignment="1" applyProtection="1">
      <alignment horizontal="center"/>
      <protection hidden="1"/>
    </xf>
    <xf numFmtId="0" fontId="157" fillId="0" borderId="9" xfId="0" applyFont="1" applyBorder="1" applyProtection="1">
      <protection hidden="1"/>
    </xf>
    <xf numFmtId="0" fontId="160" fillId="0" borderId="9" xfId="0" applyFont="1" applyBorder="1" applyProtection="1">
      <protection hidden="1"/>
    </xf>
    <xf numFmtId="0" fontId="147" fillId="0" borderId="0" xfId="0" applyFont="1" applyProtection="1">
      <protection hidden="1"/>
    </xf>
    <xf numFmtId="0" fontId="144" fillId="0" borderId="18" xfId="0" applyFont="1" applyBorder="1" applyProtection="1">
      <protection hidden="1"/>
    </xf>
    <xf numFmtId="0" fontId="144" fillId="0" borderId="59" xfId="0" applyFont="1" applyBorder="1" applyProtection="1">
      <protection hidden="1"/>
    </xf>
    <xf numFmtId="0" fontId="144" fillId="0" borderId="58" xfId="0" applyFont="1" applyBorder="1" applyProtection="1">
      <protection hidden="1"/>
    </xf>
    <xf numFmtId="0" fontId="157" fillId="0" borderId="9" xfId="0" applyFont="1" applyBorder="1"/>
    <xf numFmtId="0" fontId="160" fillId="0" borderId="9" xfId="0" applyFont="1" applyBorder="1"/>
    <xf numFmtId="0" fontId="174" fillId="0" borderId="0" xfId="0" applyFont="1" applyAlignment="1" applyProtection="1">
      <alignment vertical="center"/>
      <protection hidden="1"/>
    </xf>
    <xf numFmtId="0" fontId="9" fillId="13" borderId="22" xfId="0" applyFont="1" applyFill="1" applyBorder="1" applyAlignment="1" applyProtection="1">
      <alignment horizontal="center" vertical="center"/>
      <protection hidden="1"/>
    </xf>
    <xf numFmtId="0" fontId="27" fillId="13" borderId="21" xfId="0" applyFont="1" applyFill="1" applyBorder="1" applyAlignment="1" applyProtection="1">
      <alignment vertical="center"/>
      <protection hidden="1"/>
    </xf>
    <xf numFmtId="9" fontId="9" fillId="13" borderId="21" xfId="3" applyFont="1" applyFill="1" applyBorder="1" applyAlignment="1" applyProtection="1">
      <alignment horizontal="center" vertical="center"/>
      <protection hidden="1"/>
    </xf>
    <xf numFmtId="0" fontId="13" fillId="0" borderId="0" xfId="0" applyFont="1"/>
    <xf numFmtId="0" fontId="13" fillId="0" borderId="0" xfId="0" applyFont="1" applyAlignment="1">
      <alignment horizontal="center"/>
    </xf>
    <xf numFmtId="0" fontId="178" fillId="17" borderId="0" xfId="0" applyFont="1" applyFill="1" applyAlignment="1">
      <alignment horizontal="center"/>
    </xf>
    <xf numFmtId="9" fontId="1" fillId="0" borderId="72" xfId="3" applyFont="1" applyBorder="1" applyAlignment="1">
      <alignment horizontal="center"/>
    </xf>
    <xf numFmtId="0" fontId="13" fillId="0" borderId="54" xfId="0" applyFont="1" applyBorder="1"/>
    <xf numFmtId="0" fontId="13" fillId="0" borderId="23" xfId="0" applyFont="1" applyBorder="1"/>
    <xf numFmtId="0" fontId="13" fillId="0" borderId="29" xfId="0" applyFont="1" applyBorder="1"/>
    <xf numFmtId="0" fontId="102" fillId="0" borderId="110" xfId="0" applyFont="1" applyBorder="1" applyAlignment="1">
      <alignment horizontal="center"/>
    </xf>
    <xf numFmtId="0" fontId="17" fillId="0" borderId="111" xfId="0" applyFont="1" applyBorder="1" applyAlignment="1">
      <alignment horizontal="center"/>
    </xf>
    <xf numFmtId="0" fontId="17" fillId="0" borderId="35" xfId="0" applyFont="1" applyBorder="1" applyAlignment="1">
      <alignment horizontal="center"/>
    </xf>
    <xf numFmtId="9" fontId="12" fillId="0" borderId="2" xfId="3" applyFont="1" applyBorder="1" applyAlignment="1">
      <alignment horizontal="center"/>
    </xf>
    <xf numFmtId="9" fontId="1" fillId="0" borderId="54" xfId="3" applyFont="1" applyBorder="1" applyAlignment="1">
      <alignment horizontal="center"/>
    </xf>
    <xf numFmtId="9" fontId="1" fillId="0" borderId="76" xfId="3" applyFont="1" applyBorder="1" applyAlignment="1">
      <alignment horizontal="center"/>
    </xf>
    <xf numFmtId="9" fontId="1" fillId="0" borderId="17" xfId="3" applyFont="1" applyBorder="1" applyAlignment="1">
      <alignment horizontal="center"/>
    </xf>
    <xf numFmtId="9" fontId="1" fillId="0" borderId="23" xfId="3" applyFont="1" applyBorder="1" applyAlignment="1">
      <alignment horizontal="center"/>
    </xf>
    <xf numFmtId="9" fontId="1" fillId="0" borderId="79" xfId="3" applyFont="1" applyBorder="1" applyAlignment="1">
      <alignment horizontal="center"/>
    </xf>
    <xf numFmtId="9" fontId="1" fillId="0" borderId="29" xfId="3" applyFont="1" applyBorder="1" applyAlignment="1">
      <alignment horizontal="center"/>
    </xf>
    <xf numFmtId="9" fontId="1" fillId="0" borderId="80" xfId="3" applyFont="1" applyBorder="1" applyAlignment="1">
      <alignment horizontal="center"/>
    </xf>
    <xf numFmtId="9" fontId="1" fillId="0" borderId="81" xfId="3" applyFont="1" applyBorder="1" applyAlignment="1">
      <alignment horizontal="center"/>
    </xf>
    <xf numFmtId="0" fontId="179" fillId="18" borderId="0" xfId="0" applyFont="1" applyFill="1" applyAlignment="1">
      <alignment horizontal="center"/>
    </xf>
    <xf numFmtId="0" fontId="178" fillId="19" borderId="0" xfId="0" applyFont="1" applyFill="1" applyAlignment="1">
      <alignment horizontal="center"/>
    </xf>
    <xf numFmtId="0" fontId="179" fillId="20" borderId="0" xfId="0" applyFont="1" applyFill="1" applyAlignment="1">
      <alignment horizontal="center"/>
    </xf>
    <xf numFmtId="0" fontId="180" fillId="21" borderId="0" xfId="0" applyFont="1" applyFill="1" applyAlignment="1">
      <alignment horizontal="center"/>
    </xf>
    <xf numFmtId="0" fontId="7" fillId="0" borderId="0" xfId="0" applyFont="1" applyAlignment="1" applyProtection="1">
      <alignment horizont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181" fillId="0" borderId="0" xfId="0" applyFont="1" applyAlignment="1" applyProtection="1">
      <alignment horizontal="center" vertical="center"/>
      <protection hidden="1"/>
    </xf>
    <xf numFmtId="10" fontId="181" fillId="0" borderId="0" xfId="3" applyNumberFormat="1" applyFont="1" applyAlignment="1" applyProtection="1">
      <alignment horizontal="center" vertical="center"/>
      <protection hidden="1"/>
    </xf>
    <xf numFmtId="2" fontId="182" fillId="0" borderId="0" xfId="0" applyNumberFormat="1" applyFont="1" applyAlignment="1" applyProtection="1">
      <alignment horizontal="center" vertical="center"/>
      <protection hidden="1"/>
    </xf>
    <xf numFmtId="0" fontId="7" fillId="0" borderId="73" xfId="0" applyFont="1" applyBorder="1" applyAlignment="1" applyProtection="1">
      <alignment horizontal="center" vertical="center"/>
      <protection hidden="1"/>
    </xf>
    <xf numFmtId="2" fontId="7" fillId="0" borderId="5" xfId="0" applyNumberFormat="1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vertical="center"/>
      <protection hidden="1"/>
    </xf>
    <xf numFmtId="0" fontId="6" fillId="0" borderId="9" xfId="0" applyFont="1" applyBorder="1" applyAlignment="1" applyProtection="1">
      <alignment vertical="center"/>
      <protection hidden="1"/>
    </xf>
    <xf numFmtId="2" fontId="7" fillId="0" borderId="5" xfId="0" applyNumberFormat="1" applyFont="1" applyBorder="1" applyAlignment="1" applyProtection="1">
      <alignment horizontal="right"/>
      <protection hidden="1"/>
    </xf>
    <xf numFmtId="9" fontId="123" fillId="0" borderId="0" xfId="3" applyFont="1" applyAlignment="1" applyProtection="1">
      <alignment horizontal="right" vertical="center"/>
      <protection hidden="1"/>
    </xf>
    <xf numFmtId="10" fontId="88" fillId="0" borderId="0" xfId="3" applyNumberFormat="1" applyFont="1" applyAlignment="1" applyProtection="1">
      <alignment vertical="center"/>
      <protection hidden="1"/>
    </xf>
    <xf numFmtId="0" fontId="88" fillId="0" borderId="0" xfId="0" applyFont="1" applyAlignment="1" applyProtection="1">
      <alignment vertical="center"/>
      <protection hidden="1"/>
    </xf>
    <xf numFmtId="0" fontId="114" fillId="4" borderId="22" xfId="0" applyFont="1" applyFill="1" applyBorder="1" applyAlignment="1" applyProtection="1">
      <alignment vertical="center"/>
      <protection hidden="1"/>
    </xf>
    <xf numFmtId="0" fontId="52" fillId="4" borderId="21" xfId="0" applyFont="1" applyFill="1" applyBorder="1" applyAlignment="1" applyProtection="1">
      <alignment vertical="center"/>
      <protection hidden="1"/>
    </xf>
    <xf numFmtId="0" fontId="50" fillId="4" borderId="21" xfId="0" applyFont="1" applyFill="1" applyBorder="1" applyAlignment="1" applyProtection="1">
      <alignment vertical="center"/>
      <protection hidden="1"/>
    </xf>
    <xf numFmtId="0" fontId="190" fillId="11" borderId="20" xfId="0" applyFont="1" applyFill="1" applyBorder="1" applyAlignment="1" applyProtection="1">
      <alignment horizontal="center" vertical="center"/>
      <protection hidden="1"/>
    </xf>
    <xf numFmtId="9" fontId="125" fillId="0" borderId="0" xfId="3" applyFont="1" applyAlignment="1" applyProtection="1">
      <alignment horizontal="right" vertical="center"/>
      <protection hidden="1"/>
    </xf>
    <xf numFmtId="0" fontId="40" fillId="0" borderId="9" xfId="0" applyFont="1" applyBorder="1" applyAlignment="1" applyProtection="1">
      <alignment vertical="center"/>
      <protection hidden="1"/>
    </xf>
    <xf numFmtId="9" fontId="125" fillId="0" borderId="0" xfId="3" applyFont="1" applyAlignment="1" applyProtection="1">
      <alignment vertical="center"/>
      <protection hidden="1"/>
    </xf>
    <xf numFmtId="0" fontId="31" fillId="0" borderId="84" xfId="0" applyFont="1" applyBorder="1" applyAlignment="1" applyProtection="1">
      <alignment vertical="center"/>
      <protection hidden="1"/>
    </xf>
    <xf numFmtId="0" fontId="40" fillId="0" borderId="85" xfId="0" applyFont="1" applyBorder="1" applyAlignment="1" applyProtection="1">
      <alignment vertical="center"/>
      <protection hidden="1"/>
    </xf>
    <xf numFmtId="0" fontId="40" fillId="0" borderId="5" xfId="0" applyFont="1" applyBorder="1" applyAlignment="1" applyProtection="1">
      <alignment vertical="center"/>
      <protection hidden="1"/>
    </xf>
    <xf numFmtId="0" fontId="42" fillId="0" borderId="9" xfId="0" applyFont="1" applyBorder="1" applyAlignment="1" applyProtection="1">
      <alignment horizontal="right" vertical="center"/>
      <protection hidden="1"/>
    </xf>
    <xf numFmtId="0" fontId="43" fillId="0" borderId="9" xfId="0" applyFont="1" applyBorder="1" applyAlignment="1" applyProtection="1">
      <alignment vertical="center"/>
      <protection hidden="1"/>
    </xf>
    <xf numFmtId="0" fontId="85" fillId="0" borderId="84" xfId="0" applyFont="1" applyBorder="1" applyAlignment="1" applyProtection="1">
      <alignment vertical="center"/>
      <protection hidden="1"/>
    </xf>
    <xf numFmtId="0" fontId="44" fillId="0" borderId="85" xfId="0" applyFont="1" applyBorder="1" applyAlignment="1" applyProtection="1">
      <alignment vertical="center"/>
      <protection hidden="1"/>
    </xf>
    <xf numFmtId="1" fontId="85" fillId="0" borderId="84" xfId="0" applyNumberFormat="1" applyFont="1" applyBorder="1" applyAlignment="1" applyProtection="1">
      <alignment horizontal="center" vertical="center"/>
      <protection hidden="1"/>
    </xf>
    <xf numFmtId="1" fontId="85" fillId="0" borderId="87" xfId="0" applyNumberFormat="1" applyFont="1" applyBorder="1" applyAlignment="1" applyProtection="1">
      <alignment horizontal="center" vertical="center"/>
      <protection hidden="1"/>
    </xf>
    <xf numFmtId="0" fontId="85" fillId="0" borderId="51" xfId="0" applyFont="1" applyBorder="1" applyAlignment="1" applyProtection="1">
      <alignment vertical="center"/>
      <protection hidden="1"/>
    </xf>
    <xf numFmtId="0" fontId="44" fillId="0" borderId="0" xfId="0" applyFont="1" applyAlignment="1" applyProtection="1">
      <alignment vertical="center"/>
      <protection hidden="1"/>
    </xf>
    <xf numFmtId="1" fontId="85" fillId="0" borderId="5" xfId="0" applyNumberFormat="1" applyFont="1" applyBorder="1" applyAlignment="1" applyProtection="1">
      <alignment horizontal="center" vertical="center"/>
      <protection hidden="1"/>
    </xf>
    <xf numFmtId="0" fontId="85" fillId="0" borderId="86" xfId="0" applyFont="1" applyBorder="1" applyAlignment="1" applyProtection="1">
      <alignment horizontal="center" vertical="center"/>
      <protection hidden="1"/>
    </xf>
    <xf numFmtId="0" fontId="44" fillId="0" borderId="84" xfId="0" applyFont="1" applyBorder="1" applyAlignment="1" applyProtection="1">
      <alignment vertical="center"/>
      <protection hidden="1"/>
    </xf>
    <xf numFmtId="0" fontId="44" fillId="0" borderId="51" xfId="0" applyFont="1" applyBorder="1" applyAlignment="1" applyProtection="1">
      <alignment vertical="center"/>
      <protection hidden="1"/>
    </xf>
    <xf numFmtId="0" fontId="44" fillId="0" borderId="51" xfId="0" applyFont="1" applyBorder="1" applyAlignment="1" applyProtection="1">
      <alignment horizontal="center" vertical="center"/>
      <protection hidden="1"/>
    </xf>
    <xf numFmtId="0" fontId="44" fillId="0" borderId="86" xfId="0" applyFont="1" applyBorder="1" applyAlignment="1" applyProtection="1">
      <alignment horizontal="center" vertical="center"/>
      <protection hidden="1"/>
    </xf>
    <xf numFmtId="0" fontId="57" fillId="0" borderId="0" xfId="1" applyNumberFormat="1" applyFont="1" applyAlignment="1" applyProtection="1">
      <alignment vertical="center"/>
      <protection hidden="1"/>
    </xf>
    <xf numFmtId="9" fontId="183" fillId="0" borderId="0" xfId="3" applyFont="1" applyAlignment="1" applyProtection="1">
      <alignment vertical="center"/>
      <protection hidden="1"/>
    </xf>
    <xf numFmtId="10" fontId="183" fillId="0" borderId="0" xfId="3" applyNumberFormat="1" applyFont="1" applyAlignment="1" applyProtection="1">
      <alignment vertical="center"/>
      <protection hidden="1"/>
    </xf>
    <xf numFmtId="10" fontId="126" fillId="0" borderId="0" xfId="3" applyNumberFormat="1" applyFont="1" applyAlignment="1" applyProtection="1">
      <alignment vertical="center"/>
      <protection hidden="1"/>
    </xf>
    <xf numFmtId="0" fontId="40" fillId="0" borderId="84" xfId="0" applyFont="1" applyBorder="1" applyAlignment="1" applyProtection="1">
      <alignment vertical="center"/>
      <protection hidden="1"/>
    </xf>
    <xf numFmtId="0" fontId="40" fillId="0" borderId="87" xfId="0" applyFont="1" applyBorder="1" applyAlignment="1" applyProtection="1">
      <alignment vertical="center"/>
      <protection hidden="1"/>
    </xf>
    <xf numFmtId="9" fontId="184" fillId="0" borderId="0" xfId="3" applyFont="1" applyAlignment="1" applyProtection="1">
      <alignment vertical="center"/>
      <protection hidden="1"/>
    </xf>
    <xf numFmtId="10" fontId="184" fillId="0" borderId="0" xfId="3" applyNumberFormat="1" applyFont="1" applyAlignment="1" applyProtection="1">
      <alignment vertical="center"/>
      <protection hidden="1"/>
    </xf>
    <xf numFmtId="0" fontId="40" fillId="0" borderId="51" xfId="0" applyFont="1" applyBorder="1" applyAlignment="1" applyProtection="1">
      <alignment vertical="center"/>
      <protection hidden="1"/>
    </xf>
    <xf numFmtId="0" fontId="57" fillId="0" borderId="0" xfId="0" applyFont="1" applyAlignment="1" applyProtection="1">
      <alignment vertical="center"/>
      <protection hidden="1"/>
    </xf>
    <xf numFmtId="0" fontId="56" fillId="0" borderId="0" xfId="0" applyFont="1" applyAlignment="1" applyProtection="1">
      <alignment horizontal="right" vertical="center"/>
      <protection hidden="1"/>
    </xf>
    <xf numFmtId="0" fontId="56" fillId="0" borderId="86" xfId="0" applyFont="1" applyBorder="1" applyAlignment="1" applyProtection="1">
      <alignment vertical="center"/>
      <protection hidden="1"/>
    </xf>
    <xf numFmtId="0" fontId="57" fillId="0" borderId="51" xfId="0" applyFont="1" applyBorder="1" applyAlignment="1" applyProtection="1">
      <alignment vertical="center"/>
      <protection hidden="1"/>
    </xf>
    <xf numFmtId="9" fontId="127" fillId="0" borderId="0" xfId="3" applyFont="1" applyAlignment="1" applyProtection="1">
      <alignment horizontal="right" vertical="center"/>
      <protection hidden="1"/>
    </xf>
    <xf numFmtId="0" fontId="110" fillId="0" borderId="0" xfId="1" applyNumberFormat="1" applyFont="1" applyAlignment="1" applyProtection="1">
      <alignment vertical="center"/>
      <protection hidden="1"/>
    </xf>
    <xf numFmtId="10" fontId="168" fillId="0" borderId="0" xfId="3" applyNumberFormat="1" applyFont="1" applyAlignment="1" applyProtection="1">
      <alignment vertical="center"/>
      <protection hidden="1"/>
    </xf>
    <xf numFmtId="0" fontId="45" fillId="0" borderId="0" xfId="0" applyFont="1" applyAlignment="1" applyProtection="1">
      <alignment horizontal="right" vertical="center"/>
      <protection hidden="1"/>
    </xf>
    <xf numFmtId="0" fontId="40" fillId="0" borderId="86" xfId="0" applyFont="1" applyBorder="1" applyAlignment="1" applyProtection="1">
      <alignment vertical="center"/>
      <protection hidden="1"/>
    </xf>
    <xf numFmtId="10" fontId="43" fillId="0" borderId="0" xfId="3" applyNumberFormat="1" applyFont="1" applyAlignment="1" applyProtection="1">
      <alignment vertical="center"/>
      <protection hidden="1"/>
    </xf>
    <xf numFmtId="10" fontId="53" fillId="0" borderId="0" xfId="3" applyNumberFormat="1" applyFont="1" applyAlignment="1" applyProtection="1">
      <alignment vertical="center"/>
      <protection hidden="1"/>
    </xf>
    <xf numFmtId="0" fontId="40" fillId="12" borderId="22" xfId="0" applyFont="1" applyFill="1" applyBorder="1" applyAlignment="1" applyProtection="1">
      <alignment vertical="center"/>
      <protection hidden="1"/>
    </xf>
    <xf numFmtId="0" fontId="40" fillId="12" borderId="21" xfId="0" applyFont="1" applyFill="1" applyBorder="1" applyAlignment="1" applyProtection="1">
      <alignment vertical="center"/>
      <protection hidden="1"/>
    </xf>
    <xf numFmtId="0" fontId="46" fillId="12" borderId="21" xfId="0" applyFont="1" applyFill="1" applyBorder="1" applyAlignment="1" applyProtection="1">
      <alignment horizontal="right" vertical="center"/>
      <protection hidden="1"/>
    </xf>
    <xf numFmtId="9" fontId="127" fillId="0" borderId="0" xfId="3" applyFont="1" applyAlignment="1" applyProtection="1">
      <alignment horizontal="center" vertical="center"/>
      <protection hidden="1"/>
    </xf>
    <xf numFmtId="0" fontId="59" fillId="0" borderId="0" xfId="0" applyFont="1" applyAlignment="1" applyProtection="1">
      <alignment vertical="center"/>
      <protection hidden="1"/>
    </xf>
    <xf numFmtId="0" fontId="129" fillId="0" borderId="0" xfId="0" applyFont="1" applyAlignment="1" applyProtection="1">
      <alignment horizontal="right" vertical="center"/>
      <protection hidden="1"/>
    </xf>
    <xf numFmtId="9" fontId="169" fillId="0" borderId="0" xfId="3" applyFont="1" applyAlignment="1" applyProtection="1">
      <alignment horizontal="center" vertical="center"/>
      <protection hidden="1"/>
    </xf>
    <xf numFmtId="0" fontId="59" fillId="0" borderId="9" xfId="0" applyFont="1" applyBorder="1" applyAlignment="1" applyProtection="1">
      <alignment vertical="center"/>
      <protection hidden="1"/>
    </xf>
    <xf numFmtId="0" fontId="72" fillId="0" borderId="9" xfId="0" applyFont="1" applyBorder="1" applyAlignment="1" applyProtection="1">
      <alignment horizontal="right" vertical="center"/>
      <protection hidden="1"/>
    </xf>
    <xf numFmtId="0" fontId="131" fillId="0" borderId="0" xfId="0" applyFont="1" applyAlignment="1" applyProtection="1">
      <alignment vertical="center"/>
      <protection hidden="1"/>
    </xf>
    <xf numFmtId="0" fontId="132" fillId="0" borderId="0" xfId="1" applyNumberFormat="1" applyFont="1" applyAlignment="1" applyProtection="1">
      <alignment vertical="center"/>
      <protection hidden="1"/>
    </xf>
    <xf numFmtId="0" fontId="134" fillId="0" borderId="0" xfId="0" applyFont="1" applyAlignment="1" applyProtection="1">
      <alignment vertical="center"/>
      <protection hidden="1"/>
    </xf>
    <xf numFmtId="0" fontId="132" fillId="0" borderId="0" xfId="1" applyNumberFormat="1" applyFont="1" applyAlignment="1" applyProtection="1">
      <alignment horizontal="right" vertical="center"/>
      <protection hidden="1"/>
    </xf>
    <xf numFmtId="9" fontId="135" fillId="0" borderId="0" xfId="3" applyFont="1" applyAlignment="1" applyProtection="1">
      <alignment vertical="center"/>
      <protection hidden="1"/>
    </xf>
    <xf numFmtId="0" fontId="135" fillId="0" borderId="0" xfId="1" applyNumberFormat="1" applyFont="1" applyAlignment="1" applyProtection="1">
      <alignment vertical="center"/>
      <protection hidden="1"/>
    </xf>
    <xf numFmtId="0" fontId="49" fillId="0" borderId="0" xfId="1" applyNumberFormat="1" applyFont="1" applyAlignment="1" applyProtection="1">
      <alignment horizontal="right" vertical="center"/>
      <protection hidden="1"/>
    </xf>
    <xf numFmtId="9" fontId="80" fillId="0" borderId="0" xfId="3" applyFont="1" applyAlignment="1" applyProtection="1">
      <alignment vertical="center"/>
      <protection hidden="1"/>
    </xf>
    <xf numFmtId="0" fontId="80" fillId="0" borderId="0" xfId="1" applyNumberFormat="1" applyFont="1" applyAlignment="1" applyProtection="1">
      <alignment vertical="center"/>
      <protection hidden="1"/>
    </xf>
    <xf numFmtId="0" fontId="75" fillId="0" borderId="0" xfId="0" applyFont="1" applyAlignment="1" applyProtection="1">
      <alignment vertical="center"/>
      <protection hidden="1"/>
    </xf>
    <xf numFmtId="0" fontId="76" fillId="0" borderId="0" xfId="0" applyFont="1" applyAlignment="1" applyProtection="1">
      <alignment horizontal="right" vertical="center"/>
      <protection hidden="1"/>
    </xf>
    <xf numFmtId="9" fontId="77" fillId="5" borderId="0" xfId="3" applyFont="1" applyFill="1" applyAlignment="1" applyProtection="1">
      <alignment horizontal="center" vertical="center"/>
      <protection hidden="1"/>
    </xf>
    <xf numFmtId="0" fontId="50" fillId="7" borderId="0" xfId="0" applyFont="1" applyFill="1" applyAlignment="1" applyProtection="1">
      <alignment vertical="center"/>
      <protection hidden="1"/>
    </xf>
    <xf numFmtId="0" fontId="58" fillId="7" borderId="0" xfId="1" applyNumberFormat="1" applyFont="1" applyFill="1" applyAlignment="1" applyProtection="1">
      <alignment horizontal="right" vertical="center"/>
      <protection hidden="1"/>
    </xf>
    <xf numFmtId="0" fontId="78" fillId="0" borderId="0" xfId="0" applyFont="1" applyAlignment="1" applyProtection="1">
      <alignment vertical="center"/>
      <protection hidden="1"/>
    </xf>
    <xf numFmtId="0" fontId="73" fillId="0" borderId="0" xfId="1" applyNumberFormat="1" applyFont="1" applyAlignment="1" applyProtection="1">
      <alignment vertical="center"/>
      <protection hidden="1"/>
    </xf>
    <xf numFmtId="0" fontId="74" fillId="0" borderId="0" xfId="0" applyFont="1" applyAlignment="1" applyProtection="1">
      <alignment vertical="center"/>
      <protection hidden="1"/>
    </xf>
    <xf numFmtId="0" fontId="44" fillId="14" borderId="0" xfId="0" applyFont="1" applyFill="1" applyAlignment="1" applyProtection="1">
      <alignment vertical="center"/>
      <protection hidden="1"/>
    </xf>
    <xf numFmtId="0" fontId="40" fillId="14" borderId="0" xfId="0" applyFont="1" applyFill="1" applyAlignment="1" applyProtection="1">
      <alignment vertical="center"/>
      <protection hidden="1"/>
    </xf>
    <xf numFmtId="9" fontId="45" fillId="5" borderId="0" xfId="3" applyFont="1" applyFill="1" applyAlignment="1" applyProtection="1">
      <alignment vertical="center"/>
      <protection hidden="1"/>
    </xf>
    <xf numFmtId="0" fontId="65" fillId="15" borderId="0" xfId="0" applyFont="1" applyFill="1" applyAlignment="1" applyProtection="1">
      <alignment vertical="center"/>
      <protection hidden="1"/>
    </xf>
    <xf numFmtId="0" fontId="44" fillId="15" borderId="0" xfId="0" applyFont="1" applyFill="1" applyAlignment="1" applyProtection="1">
      <alignment vertical="center"/>
      <protection hidden="1"/>
    </xf>
    <xf numFmtId="0" fontId="60" fillId="0" borderId="0" xfId="0" applyFont="1" applyAlignment="1" applyProtection="1">
      <alignment vertical="center"/>
      <protection hidden="1"/>
    </xf>
    <xf numFmtId="0" fontId="62" fillId="0" borderId="0" xfId="0" applyFont="1" applyAlignment="1" applyProtection="1">
      <alignment vertical="center"/>
      <protection hidden="1"/>
    </xf>
    <xf numFmtId="9" fontId="64" fillId="0" borderId="0" xfId="3" applyFont="1" applyAlignment="1" applyProtection="1">
      <alignment horizontal="right" vertical="center"/>
      <protection hidden="1"/>
    </xf>
    <xf numFmtId="9" fontId="64" fillId="0" borderId="0" xfId="3" applyFont="1" applyAlignment="1" applyProtection="1">
      <alignment horizontal="left" vertical="center"/>
      <protection hidden="1"/>
    </xf>
    <xf numFmtId="0" fontId="45" fillId="0" borderId="0" xfId="0" applyFont="1" applyAlignment="1" applyProtection="1">
      <alignment vertical="center"/>
      <protection hidden="1"/>
    </xf>
    <xf numFmtId="9" fontId="45" fillId="5" borderId="0" xfId="3" applyFont="1" applyFill="1" applyAlignment="1" applyProtection="1">
      <alignment horizontal="center" vertical="center"/>
      <protection hidden="1"/>
    </xf>
    <xf numFmtId="9" fontId="64" fillId="0" borderId="9" xfId="3" applyFont="1" applyBorder="1" applyAlignment="1" applyProtection="1">
      <alignment horizontal="right" vertical="center"/>
      <protection hidden="1"/>
    </xf>
    <xf numFmtId="9" fontId="64" fillId="0" borderId="9" xfId="3" applyFont="1" applyBorder="1" applyAlignment="1" applyProtection="1">
      <alignment horizontal="left" vertical="center"/>
      <protection hidden="1"/>
    </xf>
    <xf numFmtId="9" fontId="69" fillId="15" borderId="89" xfId="3" applyFont="1" applyFill="1" applyBorder="1" applyAlignment="1" applyProtection="1">
      <alignment vertical="center"/>
      <protection hidden="1"/>
    </xf>
    <xf numFmtId="0" fontId="70" fillId="15" borderId="90" xfId="0" applyFont="1" applyFill="1" applyBorder="1" applyAlignment="1" applyProtection="1">
      <alignment vertical="center"/>
      <protection hidden="1"/>
    </xf>
    <xf numFmtId="0" fontId="70" fillId="15" borderId="91" xfId="0" applyFont="1" applyFill="1" applyBorder="1" applyAlignment="1" applyProtection="1">
      <alignment vertical="center"/>
      <protection hidden="1"/>
    </xf>
    <xf numFmtId="0" fontId="31" fillId="0" borderId="92" xfId="0" applyFont="1" applyBorder="1" applyAlignment="1" applyProtection="1">
      <alignment vertical="center"/>
      <protection hidden="1"/>
    </xf>
    <xf numFmtId="9" fontId="67" fillId="0" borderId="0" xfId="3" applyFont="1" applyAlignment="1" applyProtection="1">
      <alignment horizontal="center" vertical="center"/>
      <protection hidden="1"/>
    </xf>
    <xf numFmtId="9" fontId="67" fillId="0" borderId="0" xfId="3" applyFont="1" applyAlignment="1" applyProtection="1">
      <alignment vertical="center"/>
      <protection hidden="1"/>
    </xf>
    <xf numFmtId="0" fontId="40" fillId="0" borderId="93" xfId="0" applyFont="1" applyBorder="1" applyAlignment="1" applyProtection="1">
      <alignment vertical="center"/>
      <protection hidden="1"/>
    </xf>
    <xf numFmtId="9" fontId="68" fillId="0" borderId="0" xfId="3" applyFont="1" applyAlignment="1" applyProtection="1">
      <alignment horizontal="center" vertical="center"/>
      <protection hidden="1"/>
    </xf>
    <xf numFmtId="9" fontId="68" fillId="0" borderId="0" xfId="3" applyFont="1" applyAlignment="1" applyProtection="1">
      <alignment vertical="center"/>
      <protection hidden="1"/>
    </xf>
    <xf numFmtId="0" fontId="31" fillId="0" borderId="94" xfId="0" applyFont="1" applyBorder="1" applyAlignment="1" applyProtection="1">
      <alignment vertical="center"/>
      <protection hidden="1"/>
    </xf>
    <xf numFmtId="9" fontId="68" fillId="0" borderId="95" xfId="3" applyFont="1" applyBorder="1" applyAlignment="1" applyProtection="1">
      <alignment horizontal="center" vertical="center"/>
      <protection hidden="1"/>
    </xf>
    <xf numFmtId="9" fontId="68" fillId="0" borderId="95" xfId="3" applyFont="1" applyBorder="1" applyAlignment="1" applyProtection="1">
      <alignment vertical="center"/>
      <protection hidden="1"/>
    </xf>
    <xf numFmtId="0" fontId="40" fillId="0" borderId="95" xfId="0" applyFont="1" applyBorder="1" applyAlignment="1" applyProtection="1">
      <alignment vertical="center"/>
      <protection hidden="1"/>
    </xf>
    <xf numFmtId="0" fontId="40" fillId="0" borderId="96" xfId="0" applyFont="1" applyBorder="1" applyAlignment="1" applyProtection="1">
      <alignment vertical="center"/>
      <protection hidden="1"/>
    </xf>
    <xf numFmtId="0" fontId="31" fillId="0" borderId="0" xfId="0" applyFont="1" applyAlignment="1" applyProtection="1">
      <alignment vertical="center"/>
      <protection hidden="1"/>
    </xf>
    <xf numFmtId="0" fontId="40" fillId="0" borderId="97" xfId="0" applyFont="1" applyBorder="1" applyAlignment="1" applyProtection="1">
      <alignment vertical="center"/>
      <protection hidden="1"/>
    </xf>
    <xf numFmtId="0" fontId="40" fillId="0" borderId="98" xfId="0" applyFont="1" applyBorder="1" applyAlignment="1" applyProtection="1">
      <alignment vertical="center"/>
      <protection hidden="1"/>
    </xf>
    <xf numFmtId="0" fontId="40" fillId="0" borderId="99" xfId="0" applyFont="1" applyBorder="1" applyAlignment="1" applyProtection="1">
      <alignment vertical="center"/>
      <protection hidden="1"/>
    </xf>
    <xf numFmtId="0" fontId="40" fillId="0" borderId="100" xfId="0" applyFont="1" applyBorder="1" applyAlignment="1" applyProtection="1">
      <alignment vertical="center"/>
      <protection hidden="1"/>
    </xf>
    <xf numFmtId="0" fontId="40" fillId="0" borderId="101" xfId="0" applyFont="1" applyBorder="1" applyAlignment="1" applyProtection="1">
      <alignment vertical="center"/>
      <protection hidden="1"/>
    </xf>
    <xf numFmtId="0" fontId="107" fillId="0" borderId="0" xfId="0" applyFont="1" applyAlignment="1" applyProtection="1">
      <alignment vertical="center"/>
      <protection hidden="1"/>
    </xf>
    <xf numFmtId="0" fontId="108" fillId="0" borderId="0" xfId="0" applyFont="1" applyAlignment="1" applyProtection="1">
      <alignment horizontal="right" vertical="center"/>
      <protection hidden="1"/>
    </xf>
    <xf numFmtId="2" fontId="41" fillId="0" borderId="0" xfId="0" applyNumberFormat="1" applyFont="1" applyAlignment="1" applyProtection="1">
      <alignment vertical="center"/>
      <protection hidden="1"/>
    </xf>
    <xf numFmtId="0" fontId="30" fillId="0" borderId="0" xfId="0" applyFont="1" applyAlignment="1" applyProtection="1">
      <alignment horizontal="right" vertical="center"/>
      <protection hidden="1"/>
    </xf>
    <xf numFmtId="0" fontId="106" fillId="0" borderId="0" xfId="0" applyFont="1" applyAlignment="1" applyProtection="1">
      <alignment horizontal="right" vertical="center"/>
      <protection hidden="1"/>
    </xf>
    <xf numFmtId="0" fontId="31" fillId="0" borderId="0" xfId="0" applyFont="1" applyAlignment="1" applyProtection="1">
      <alignment horizontal="right" vertical="center"/>
      <protection hidden="1"/>
    </xf>
    <xf numFmtId="0" fontId="40" fillId="0" borderId="102" xfId="0" applyFont="1" applyBorder="1" applyAlignment="1" applyProtection="1">
      <alignment vertical="center"/>
      <protection hidden="1"/>
    </xf>
    <xf numFmtId="0" fontId="40" fillId="0" borderId="103" xfId="0" applyFont="1" applyBorder="1" applyAlignment="1" applyProtection="1">
      <alignment vertical="center"/>
      <protection hidden="1"/>
    </xf>
    <xf numFmtId="0" fontId="40" fillId="0" borderId="104" xfId="0" applyFont="1" applyBorder="1" applyAlignment="1" applyProtection="1">
      <alignment vertical="center"/>
      <protection hidden="1"/>
    </xf>
    <xf numFmtId="0" fontId="140" fillId="0" borderId="0" xfId="0" applyFont="1" applyAlignment="1" applyProtection="1">
      <alignment vertical="center"/>
      <protection hidden="1"/>
    </xf>
    <xf numFmtId="0" fontId="40" fillId="8" borderId="0" xfId="0" applyFont="1" applyFill="1" applyAlignment="1" applyProtection="1">
      <alignment vertical="center"/>
      <protection hidden="1"/>
    </xf>
    <xf numFmtId="0" fontId="41" fillId="8" borderId="0" xfId="0" applyFont="1" applyFill="1" applyAlignment="1" applyProtection="1">
      <alignment horizontal="right" vertical="center"/>
      <protection hidden="1"/>
    </xf>
    <xf numFmtId="0" fontId="40" fillId="8" borderId="59" xfId="0" applyFont="1" applyFill="1" applyBorder="1" applyAlignment="1" applyProtection="1">
      <alignment vertical="center"/>
      <protection hidden="1"/>
    </xf>
    <xf numFmtId="0" fontId="41" fillId="8" borderId="59" xfId="0" applyFont="1" applyFill="1" applyBorder="1" applyAlignment="1" applyProtection="1">
      <alignment horizontal="right" vertical="center"/>
      <protection hidden="1"/>
    </xf>
    <xf numFmtId="0" fontId="44" fillId="0" borderId="59" xfId="0" applyFont="1" applyBorder="1" applyAlignment="1" applyProtection="1">
      <alignment horizontal="left" vertical="center"/>
      <protection hidden="1"/>
    </xf>
    <xf numFmtId="0" fontId="40" fillId="0" borderId="59" xfId="0" applyFont="1" applyBorder="1" applyAlignment="1" applyProtection="1">
      <alignment vertical="center"/>
      <protection hidden="1"/>
    </xf>
    <xf numFmtId="0" fontId="41" fillId="0" borderId="59" xfId="0" applyFont="1" applyBorder="1" applyAlignment="1" applyProtection="1">
      <alignment vertical="center"/>
      <protection hidden="1"/>
    </xf>
    <xf numFmtId="0" fontId="41" fillId="0" borderId="0" xfId="0" applyFont="1" applyAlignment="1" applyProtection="1">
      <alignment horizontal="right" vertical="center"/>
      <protection hidden="1"/>
    </xf>
    <xf numFmtId="2" fontId="40" fillId="0" borderId="97" xfId="0" applyNumberFormat="1" applyFont="1" applyBorder="1" applyAlignment="1" applyProtection="1">
      <alignment vertical="center"/>
      <protection hidden="1"/>
    </xf>
    <xf numFmtId="2" fontId="40" fillId="0" borderId="98" xfId="0" applyNumberFormat="1" applyFont="1" applyBorder="1" applyAlignment="1" applyProtection="1">
      <alignment vertical="center"/>
      <protection hidden="1"/>
    </xf>
    <xf numFmtId="2" fontId="40" fillId="0" borderId="99" xfId="0" applyNumberFormat="1" applyFont="1" applyBorder="1" applyAlignment="1" applyProtection="1">
      <alignment vertical="center"/>
      <protection hidden="1"/>
    </xf>
    <xf numFmtId="2" fontId="109" fillId="0" borderId="100" xfId="0" applyNumberFormat="1" applyFont="1" applyBorder="1" applyAlignment="1" applyProtection="1">
      <alignment vertical="center"/>
      <protection hidden="1"/>
    </xf>
    <xf numFmtId="3" fontId="141" fillId="0" borderId="0" xfId="0" applyNumberFormat="1" applyFont="1" applyAlignment="1" applyProtection="1">
      <alignment vertical="center"/>
      <protection hidden="1"/>
    </xf>
    <xf numFmtId="2" fontId="141" fillId="0" borderId="101" xfId="0" applyNumberFormat="1" applyFont="1" applyBorder="1" applyAlignment="1" applyProtection="1">
      <alignment vertical="center"/>
      <protection hidden="1"/>
    </xf>
    <xf numFmtId="2" fontId="40" fillId="0" borderId="102" xfId="0" applyNumberFormat="1" applyFont="1" applyBorder="1" applyAlignment="1" applyProtection="1">
      <alignment vertical="center"/>
      <protection hidden="1"/>
    </xf>
    <xf numFmtId="2" fontId="40" fillId="0" borderId="103" xfId="0" applyNumberFormat="1" applyFont="1" applyBorder="1" applyAlignment="1" applyProtection="1">
      <alignment vertical="center"/>
      <protection hidden="1"/>
    </xf>
    <xf numFmtId="2" fontId="40" fillId="0" borderId="104" xfId="0" applyNumberFormat="1" applyFont="1" applyBorder="1" applyAlignment="1" applyProtection="1">
      <alignment vertical="center"/>
      <protection hidden="1"/>
    </xf>
    <xf numFmtId="0" fontId="106" fillId="0" borderId="106" xfId="0" applyFont="1" applyBorder="1" applyAlignment="1" applyProtection="1">
      <alignment horizontal="right" vertical="center"/>
      <protection hidden="1"/>
    </xf>
    <xf numFmtId="0" fontId="30" fillId="0" borderId="0" xfId="0" applyFont="1" applyAlignment="1" applyProtection="1">
      <alignment vertical="center"/>
      <protection hidden="1"/>
    </xf>
    <xf numFmtId="0" fontId="44" fillId="22" borderId="84" xfId="0" applyFont="1" applyFill="1" applyBorder="1" applyAlignment="1" applyProtection="1">
      <alignment horizontal="center" vertical="center"/>
      <protection locked="0" hidden="1"/>
    </xf>
    <xf numFmtId="0" fontId="44" fillId="22" borderId="87" xfId="0" applyFont="1" applyFill="1" applyBorder="1" applyAlignment="1" applyProtection="1">
      <alignment horizontal="center" vertical="center"/>
      <protection locked="0" hidden="1"/>
    </xf>
    <xf numFmtId="0" fontId="48" fillId="22" borderId="85" xfId="0" applyFont="1" applyFill="1" applyBorder="1" applyAlignment="1" applyProtection="1">
      <alignment horizontal="center" vertical="center"/>
      <protection locked="0" hidden="1"/>
    </xf>
    <xf numFmtId="9" fontId="127" fillId="22" borderId="86" xfId="3" applyFont="1" applyFill="1" applyBorder="1" applyAlignment="1" applyProtection="1">
      <alignment horizontal="left" vertical="center"/>
      <protection locked="0" hidden="1"/>
    </xf>
    <xf numFmtId="0" fontId="41" fillId="22" borderId="0" xfId="0" applyFont="1" applyFill="1" applyAlignment="1" applyProtection="1">
      <alignment horizontal="right" vertical="center"/>
      <protection locked="0" hidden="1"/>
    </xf>
    <xf numFmtId="0" fontId="40" fillId="22" borderId="0" xfId="0" applyFont="1" applyFill="1" applyAlignment="1" applyProtection="1">
      <alignment vertical="center"/>
      <protection locked="0" hidden="1"/>
    </xf>
    <xf numFmtId="0" fontId="40" fillId="22" borderId="59" xfId="0" applyFont="1" applyFill="1" applyBorder="1" applyAlignment="1" applyProtection="1">
      <alignment vertical="center"/>
      <protection locked="0" hidden="1"/>
    </xf>
    <xf numFmtId="0" fontId="53" fillId="0" borderId="0" xfId="1" applyNumberFormat="1" applyFont="1" applyAlignment="1" applyProtection="1">
      <alignment horizontal="left" vertical="center"/>
      <protection hidden="1"/>
    </xf>
    <xf numFmtId="0" fontId="46" fillId="5" borderId="110" xfId="0" applyFont="1" applyFill="1" applyBorder="1" applyAlignment="1" applyProtection="1">
      <alignment horizontal="center" vertical="center"/>
      <protection hidden="1"/>
    </xf>
    <xf numFmtId="0" fontId="46" fillId="14" borderId="35" xfId="0" applyFont="1" applyFill="1" applyBorder="1" applyAlignment="1" applyProtection="1">
      <alignment horizontal="center" vertical="center"/>
      <protection hidden="1"/>
    </xf>
    <xf numFmtId="0" fontId="40" fillId="0" borderId="8" xfId="0" applyFont="1" applyBorder="1" applyAlignment="1" applyProtection="1">
      <alignment vertical="center"/>
      <protection hidden="1"/>
    </xf>
    <xf numFmtId="0" fontId="40" fillId="0" borderId="10" xfId="0" applyFont="1" applyBorder="1" applyAlignment="1" applyProtection="1">
      <alignment vertical="center"/>
      <protection hidden="1"/>
    </xf>
    <xf numFmtId="1" fontId="85" fillId="0" borderId="113" xfId="0" applyNumberFormat="1" applyFont="1" applyBorder="1" applyAlignment="1" applyProtection="1">
      <alignment horizontal="center" vertical="center"/>
      <protection hidden="1"/>
    </xf>
    <xf numFmtId="1" fontId="85" fillId="0" borderId="114" xfId="0" applyNumberFormat="1" applyFont="1" applyBorder="1" applyAlignment="1" applyProtection="1">
      <alignment horizontal="center" vertical="center"/>
      <protection hidden="1"/>
    </xf>
    <xf numFmtId="1" fontId="85" fillId="0" borderId="112" xfId="0" applyNumberFormat="1" applyFont="1" applyBorder="1" applyAlignment="1" applyProtection="1">
      <alignment horizontal="center" vertical="center"/>
      <protection hidden="1"/>
    </xf>
    <xf numFmtId="1" fontId="85" fillId="0" borderId="71" xfId="0" applyNumberFormat="1" applyFont="1" applyBorder="1" applyAlignment="1" applyProtection="1">
      <alignment horizontal="center" vertical="center"/>
      <protection hidden="1"/>
    </xf>
    <xf numFmtId="0" fontId="44" fillId="22" borderId="113" xfId="0" applyFont="1" applyFill="1" applyBorder="1" applyAlignment="1" applyProtection="1">
      <alignment horizontal="center" vertical="center"/>
      <protection locked="0" hidden="1"/>
    </xf>
    <xf numFmtId="0" fontId="44" fillId="0" borderId="114" xfId="0" applyFont="1" applyBorder="1" applyAlignment="1" applyProtection="1">
      <alignment horizontal="center" vertical="center"/>
      <protection hidden="1"/>
    </xf>
    <xf numFmtId="0" fontId="44" fillId="22" borderId="112" xfId="0" applyFont="1" applyFill="1" applyBorder="1" applyAlignment="1" applyProtection="1">
      <alignment horizontal="center" vertical="center"/>
      <protection locked="0" hidden="1"/>
    </xf>
    <xf numFmtId="0" fontId="44" fillId="22" borderId="71" xfId="0" applyFont="1" applyFill="1" applyBorder="1" applyAlignment="1" applyProtection="1">
      <alignment horizontal="center" vertical="center"/>
      <protection locked="0" hidden="1"/>
    </xf>
    <xf numFmtId="0" fontId="106" fillId="0" borderId="116" xfId="0" applyFont="1" applyBorder="1" applyAlignment="1" applyProtection="1">
      <alignment horizontal="center" vertical="center"/>
      <protection hidden="1"/>
    </xf>
    <xf numFmtId="0" fontId="43" fillId="0" borderId="112" xfId="0" applyFont="1" applyBorder="1" applyAlignment="1" applyProtection="1">
      <alignment vertical="center"/>
      <protection hidden="1"/>
    </xf>
    <xf numFmtId="0" fontId="53" fillId="0" borderId="23" xfId="0" applyFont="1" applyBorder="1" applyAlignment="1" applyProtection="1">
      <alignment horizontal="center" vertical="center"/>
      <protection hidden="1"/>
    </xf>
    <xf numFmtId="0" fontId="43" fillId="0" borderId="118" xfId="0" applyFont="1" applyBorder="1" applyAlignment="1" applyProtection="1">
      <alignment vertical="center"/>
      <protection hidden="1"/>
    </xf>
    <xf numFmtId="0" fontId="185" fillId="0" borderId="16" xfId="0" applyFont="1" applyBorder="1" applyAlignment="1" applyProtection="1">
      <alignment horizontal="center" vertical="center"/>
      <protection hidden="1"/>
    </xf>
    <xf numFmtId="0" fontId="185" fillId="0" borderId="120" xfId="0" applyFont="1" applyBorder="1" applyAlignment="1" applyProtection="1">
      <alignment horizontal="center" vertical="center"/>
      <protection hidden="1"/>
    </xf>
    <xf numFmtId="0" fontId="185" fillId="0" borderId="56" xfId="0" applyFont="1" applyBorder="1" applyAlignment="1" applyProtection="1">
      <alignment horizontal="center" vertical="center"/>
      <protection hidden="1"/>
    </xf>
    <xf numFmtId="0" fontId="185" fillId="0" borderId="57" xfId="0" applyFont="1" applyBorder="1" applyAlignment="1" applyProtection="1">
      <alignment horizontal="center" vertical="center"/>
      <protection hidden="1"/>
    </xf>
    <xf numFmtId="0" fontId="185" fillId="0" borderId="55" xfId="0" applyFont="1" applyBorder="1" applyAlignment="1" applyProtection="1">
      <alignment horizontal="center" vertical="center"/>
      <protection hidden="1"/>
    </xf>
    <xf numFmtId="0" fontId="195" fillId="0" borderId="0" xfId="0" applyFont="1" applyAlignment="1" applyProtection="1">
      <alignment vertical="center"/>
      <protection hidden="1"/>
    </xf>
    <xf numFmtId="0" fontId="1" fillId="0" borderId="0" xfId="0" applyFont="1"/>
    <xf numFmtId="0" fontId="63" fillId="0" borderId="0" xfId="1" applyNumberFormat="1" applyFont="1" applyAlignment="1" applyProtection="1">
      <alignment vertical="center"/>
      <protection hidden="1"/>
    </xf>
    <xf numFmtId="0" fontId="40" fillId="0" borderId="77" xfId="0" applyFont="1" applyBorder="1" applyAlignment="1" applyProtection="1">
      <alignment vertical="center"/>
      <protection hidden="1"/>
    </xf>
    <xf numFmtId="0" fontId="105" fillId="0" borderId="5" xfId="0" applyFont="1" applyBorder="1" applyAlignment="1" applyProtection="1">
      <alignment horizontal="center" vertical="center"/>
      <protection hidden="1"/>
    </xf>
    <xf numFmtId="2" fontId="0" fillId="0" borderId="0" xfId="0" applyNumberFormat="1" applyAlignment="1" applyProtection="1">
      <alignment vertical="center"/>
      <protection hidden="1"/>
    </xf>
    <xf numFmtId="0" fontId="197" fillId="0" borderId="72" xfId="0" applyFont="1" applyBorder="1" applyAlignment="1" applyProtection="1">
      <alignment horizontal="center" vertical="center"/>
      <protection hidden="1"/>
    </xf>
    <xf numFmtId="0" fontId="198" fillId="0" borderId="0" xfId="0" applyFont="1" applyAlignment="1" applyProtection="1">
      <alignment horizontal="left" vertical="center"/>
      <protection hidden="1"/>
    </xf>
    <xf numFmtId="0" fontId="199" fillId="0" borderId="0" xfId="0" applyFont="1" applyAlignment="1" applyProtection="1">
      <alignment horizontal="center" vertical="center"/>
      <protection hidden="1"/>
    </xf>
    <xf numFmtId="0" fontId="0" fillId="26" borderId="0" xfId="0" applyFill="1"/>
    <xf numFmtId="0" fontId="0" fillId="26" borderId="0" xfId="0" applyFill="1" applyAlignment="1">
      <alignment horizontal="right"/>
    </xf>
    <xf numFmtId="2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0" borderId="28" xfId="0" applyFont="1" applyBorder="1" applyProtection="1">
      <protection hidden="1"/>
    </xf>
    <xf numFmtId="0" fontId="1" fillId="0" borderId="29" xfId="0" applyFont="1" applyBorder="1" applyProtection="1">
      <protection hidden="1"/>
    </xf>
    <xf numFmtId="9" fontId="201" fillId="0" borderId="0" xfId="3" applyFont="1" applyAlignment="1" applyProtection="1">
      <alignment horizontal="center" vertical="center"/>
      <protection hidden="1"/>
    </xf>
    <xf numFmtId="9" fontId="201" fillId="0" borderId="0" xfId="3" applyFont="1" applyAlignment="1" applyProtection="1">
      <alignment horizontal="left" vertical="center"/>
      <protection hidden="1"/>
    </xf>
    <xf numFmtId="9" fontId="192" fillId="0" borderId="0" xfId="3" applyFont="1" applyAlignment="1" applyProtection="1">
      <alignment horizontal="left" vertical="center"/>
      <protection hidden="1"/>
    </xf>
    <xf numFmtId="0" fontId="105" fillId="0" borderId="7" xfId="0" applyFont="1" applyBorder="1" applyAlignment="1" applyProtection="1">
      <alignment horizontal="center" vertical="center"/>
      <protection hidden="1"/>
    </xf>
    <xf numFmtId="0" fontId="0" fillId="0" borderId="84" xfId="0" applyBorder="1"/>
    <xf numFmtId="0" fontId="206" fillId="0" borderId="0" xfId="0" applyFont="1" applyAlignment="1" applyProtection="1">
      <alignment vertical="center"/>
      <protection hidden="1"/>
    </xf>
    <xf numFmtId="0" fontId="43" fillId="8" borderId="0" xfId="0" applyFont="1" applyFill="1" applyAlignment="1" applyProtection="1">
      <alignment horizontal="right" vertical="center"/>
      <protection hidden="1"/>
    </xf>
    <xf numFmtId="0" fontId="40" fillId="8" borderId="123" xfId="0" applyFont="1" applyFill="1" applyBorder="1" applyAlignment="1" applyProtection="1">
      <alignment vertical="center"/>
      <protection hidden="1"/>
    </xf>
    <xf numFmtId="0" fontId="41" fillId="8" borderId="88" xfId="0" applyFont="1" applyFill="1" applyBorder="1" applyAlignment="1" applyProtection="1">
      <alignment horizontal="right" vertical="center"/>
      <protection hidden="1"/>
    </xf>
    <xf numFmtId="0" fontId="40" fillId="8" borderId="88" xfId="0" applyFont="1" applyFill="1" applyBorder="1" applyAlignment="1" applyProtection="1">
      <alignment vertical="center"/>
      <protection hidden="1"/>
    </xf>
    <xf numFmtId="0" fontId="43" fillId="8" borderId="88" xfId="0" applyFont="1" applyFill="1" applyBorder="1" applyAlignment="1" applyProtection="1">
      <alignment horizontal="right" vertical="center"/>
      <protection hidden="1"/>
    </xf>
    <xf numFmtId="0" fontId="207" fillId="0" borderId="0" xfId="0" applyFont="1" applyAlignment="1" applyProtection="1">
      <alignment vertical="center"/>
      <protection hidden="1"/>
    </xf>
    <xf numFmtId="0" fontId="112" fillId="0" borderId="0" xfId="0" applyFont="1" applyAlignment="1" applyProtection="1">
      <alignment vertical="center"/>
      <protection hidden="1"/>
    </xf>
    <xf numFmtId="0" fontId="105" fillId="0" borderId="101" xfId="0" applyFont="1" applyBorder="1" applyAlignment="1" applyProtection="1">
      <alignment vertical="center"/>
      <protection hidden="1"/>
    </xf>
    <xf numFmtId="0" fontId="105" fillId="0" borderId="0" xfId="0" applyFont="1" applyAlignment="1" applyProtection="1">
      <alignment vertical="center"/>
      <protection hidden="1"/>
    </xf>
    <xf numFmtId="2" fontId="0" fillId="22" borderId="9" xfId="0" applyNumberFormat="1" applyFill="1" applyBorder="1" applyAlignment="1" applyProtection="1">
      <alignment vertical="center"/>
      <protection locked="0" hidden="1"/>
    </xf>
    <xf numFmtId="0" fontId="12" fillId="22" borderId="7" xfId="0" applyFont="1" applyFill="1" applyBorder="1" applyProtection="1">
      <protection locked="0" hidden="1"/>
    </xf>
    <xf numFmtId="9" fontId="210" fillId="0" borderId="0" xfId="3" applyFont="1" applyAlignment="1" applyProtection="1">
      <alignment vertical="center"/>
      <protection hidden="1"/>
    </xf>
    <xf numFmtId="9" fontId="217" fillId="0" borderId="0" xfId="3" applyFont="1" applyAlignment="1" applyProtection="1">
      <alignment vertical="center"/>
      <protection hidden="1"/>
    </xf>
    <xf numFmtId="10" fontId="219" fillId="0" borderId="0" xfId="3" applyNumberFormat="1" applyFont="1" applyAlignment="1" applyProtection="1">
      <alignment vertical="center"/>
      <protection hidden="1"/>
    </xf>
    <xf numFmtId="0" fontId="216" fillId="0" borderId="0" xfId="0" applyFont="1" applyProtection="1">
      <protection hidden="1"/>
    </xf>
    <xf numFmtId="0" fontId="72" fillId="0" borderId="0" xfId="0" applyFont="1" applyAlignment="1" applyProtection="1">
      <alignment horizontal="right" vertical="center"/>
      <protection hidden="1"/>
    </xf>
    <xf numFmtId="9" fontId="202" fillId="0" borderId="0" xfId="3" applyFont="1" applyAlignment="1" applyProtection="1">
      <alignment vertical="center"/>
      <protection hidden="1"/>
    </xf>
    <xf numFmtId="9" fontId="60" fillId="0" borderId="9" xfId="3" applyFont="1" applyBorder="1" applyAlignment="1" applyProtection="1">
      <alignment vertical="center"/>
      <protection hidden="1"/>
    </xf>
    <xf numFmtId="0" fontId="225" fillId="0" borderId="88" xfId="0" applyFont="1" applyBorder="1" applyAlignment="1" applyProtection="1">
      <alignment vertical="center"/>
      <protection hidden="1"/>
    </xf>
    <xf numFmtId="0" fontId="0" fillId="0" borderId="0" xfId="0"/>
    <xf numFmtId="0" fontId="43" fillId="0" borderId="0" xfId="0" applyFont="1" applyAlignment="1" applyProtection="1">
      <alignment vertical="center"/>
      <protection hidden="1"/>
    </xf>
    <xf numFmtId="0" fontId="194" fillId="24" borderId="125" xfId="0" applyFont="1" applyFill="1" applyBorder="1" applyAlignment="1" applyProtection="1">
      <alignment horizontal="center" vertical="center"/>
      <protection hidden="1"/>
    </xf>
    <xf numFmtId="9" fontId="205" fillId="0" borderId="50" xfId="3" applyFont="1" applyBorder="1" applyAlignment="1" applyProtection="1">
      <alignment horizontal="right" vertical="center"/>
      <protection hidden="1"/>
    </xf>
    <xf numFmtId="0" fontId="227" fillId="24" borderId="73" xfId="0" applyFont="1" applyFill="1" applyBorder="1" applyAlignment="1" applyProtection="1">
      <alignment horizontal="center" vertical="center"/>
      <protection hidden="1"/>
    </xf>
    <xf numFmtId="0" fontId="227" fillId="24" borderId="7" xfId="0" applyFont="1" applyFill="1" applyBorder="1" applyAlignment="1" applyProtection="1">
      <alignment horizontal="center" vertical="center"/>
      <protection hidden="1"/>
    </xf>
    <xf numFmtId="0" fontId="105" fillId="0" borderId="62" xfId="0" applyFont="1" applyBorder="1" applyAlignment="1" applyProtection="1">
      <alignment horizontal="center" vertical="center"/>
      <protection hidden="1"/>
    </xf>
    <xf numFmtId="0" fontId="105" fillId="0" borderId="61" xfId="0" applyFont="1" applyBorder="1" applyAlignment="1" applyProtection="1">
      <alignment horizontal="center" vertical="center"/>
      <protection hidden="1"/>
    </xf>
    <xf numFmtId="0" fontId="43" fillId="0" borderId="116" xfId="0" applyFont="1" applyBorder="1" applyAlignment="1" applyProtection="1">
      <alignment vertical="center"/>
      <protection hidden="1"/>
    </xf>
    <xf numFmtId="0" fontId="43" fillId="0" borderId="77" xfId="0" applyFont="1" applyBorder="1" applyAlignment="1" applyProtection="1">
      <alignment vertical="center"/>
      <protection hidden="1"/>
    </xf>
    <xf numFmtId="0" fontId="53" fillId="0" borderId="15" xfId="0" applyFont="1" applyBorder="1" applyAlignment="1" applyProtection="1">
      <alignment vertical="center"/>
      <protection hidden="1"/>
    </xf>
    <xf numFmtId="0" fontId="230" fillId="28" borderId="15" xfId="0" applyFont="1" applyFill="1" applyBorder="1" applyAlignment="1" applyProtection="1">
      <alignment horizontal="center" vertical="center"/>
      <protection hidden="1"/>
    </xf>
    <xf numFmtId="0" fontId="0" fillId="0" borderId="26" xfId="0" applyBorder="1" applyProtection="1">
      <protection locked="0" hidden="1"/>
    </xf>
    <xf numFmtId="0" fontId="0" fillId="0" borderId="26" xfId="0" applyBorder="1" applyAlignment="1" applyProtection="1">
      <alignment vertical="center"/>
      <protection locked="0" hidden="1"/>
    </xf>
    <xf numFmtId="0" fontId="11" fillId="0" borderId="34" xfId="0" applyFont="1" applyBorder="1" applyAlignment="1" applyProtection="1">
      <alignment vertical="center"/>
      <protection locked="0" hidden="1"/>
    </xf>
    <xf numFmtId="0" fontId="0" fillId="0" borderId="27" xfId="0" applyBorder="1" applyAlignment="1" applyProtection="1">
      <alignment vertical="center"/>
      <protection locked="0" hidden="1"/>
    </xf>
    <xf numFmtId="0" fontId="0" fillId="0" borderId="60" xfId="0" applyBorder="1" applyAlignment="1" applyProtection="1">
      <alignment vertical="center"/>
      <protection locked="0" hidden="1"/>
    </xf>
    <xf numFmtId="9" fontId="8" fillId="5" borderId="48" xfId="3" applyFont="1" applyFill="1" applyBorder="1" applyAlignment="1" applyProtection="1">
      <alignment horizontal="center" vertical="center"/>
      <protection locked="0" hidden="1"/>
    </xf>
    <xf numFmtId="9" fontId="37" fillId="9" borderId="21" xfId="3" applyFont="1" applyFill="1" applyBorder="1" applyAlignment="1" applyProtection="1">
      <alignment horizontal="center" vertical="center"/>
      <protection locked="0" hidden="1"/>
    </xf>
    <xf numFmtId="0" fontId="0" fillId="0" borderId="27" xfId="0" applyBorder="1" applyProtection="1">
      <protection locked="0" hidden="1"/>
    </xf>
    <xf numFmtId="0" fontId="11" fillId="0" borderId="34" xfId="0" applyFont="1" applyBorder="1" applyProtection="1">
      <protection locked="0" hidden="1"/>
    </xf>
    <xf numFmtId="0" fontId="0" fillId="0" borderId="34" xfId="0" applyBorder="1" applyProtection="1">
      <protection locked="0" hidden="1"/>
    </xf>
    <xf numFmtId="9" fontId="9" fillId="11" borderId="21" xfId="3" applyFont="1" applyFill="1" applyBorder="1" applyAlignment="1" applyProtection="1">
      <alignment horizontal="center" vertical="center"/>
      <protection locked="0" hidden="1"/>
    </xf>
    <xf numFmtId="0" fontId="225" fillId="0" borderId="0" xfId="0" applyFont="1" applyAlignment="1" applyProtection="1">
      <alignment vertical="center"/>
      <protection hidden="1"/>
    </xf>
    <xf numFmtId="10" fontId="233" fillId="0" borderId="0" xfId="3" applyNumberFormat="1" applyFont="1" applyAlignment="1" applyProtection="1">
      <alignment vertical="center"/>
      <protection hidden="1"/>
    </xf>
    <xf numFmtId="9" fontId="233" fillId="22" borderId="0" xfId="3" applyFont="1" applyFill="1" applyAlignment="1" applyProtection="1">
      <alignment vertical="center"/>
      <protection locked="0" hidden="1"/>
    </xf>
    <xf numFmtId="0" fontId="1" fillId="0" borderId="0" xfId="0" applyFont="1" applyAlignment="1" applyProtection="1">
      <alignment vertical="center"/>
      <protection hidden="1"/>
    </xf>
    <xf numFmtId="0" fontId="0" fillId="0" borderId="0" xfId="0" applyAlignment="1" applyProtection="1">
      <alignment vertical="center"/>
      <protection locked="0" hidden="1"/>
    </xf>
    <xf numFmtId="0" fontId="10" fillId="0" borderId="0" xfId="0" applyFont="1" applyAlignment="1" applyProtection="1">
      <alignment vertical="center"/>
      <protection hidden="1"/>
    </xf>
    <xf numFmtId="0" fontId="181" fillId="0" borderId="0" xfId="0" applyFont="1" applyAlignment="1" applyProtection="1">
      <alignment vertical="center"/>
      <protection hidden="1"/>
    </xf>
    <xf numFmtId="2" fontId="181" fillId="0" borderId="0" xfId="0" applyNumberFormat="1" applyFont="1" applyAlignment="1" applyProtection="1">
      <alignment horizontal="center" vertical="center"/>
      <protection hidden="1"/>
    </xf>
    <xf numFmtId="10" fontId="1" fillId="0" borderId="9" xfId="3" applyNumberFormat="1" applyFont="1" applyBorder="1" applyAlignment="1" applyProtection="1">
      <alignment horizontal="center"/>
      <protection hidden="1"/>
    </xf>
    <xf numFmtId="9" fontId="1" fillId="0" borderId="0" xfId="3" applyFont="1" applyAlignment="1" applyProtection="1">
      <alignment horizontal="center"/>
      <protection hidden="1"/>
    </xf>
    <xf numFmtId="0" fontId="0" fillId="0" borderId="24" xfId="0" applyBorder="1" applyAlignment="1" applyProtection="1">
      <alignment vertical="center"/>
      <protection hidden="1"/>
    </xf>
    <xf numFmtId="0" fontId="11" fillId="0" borderId="130" xfId="0" applyFont="1" applyBorder="1" applyProtection="1">
      <protection locked="0" hidden="1"/>
    </xf>
    <xf numFmtId="0" fontId="1" fillId="0" borderId="10" xfId="0" applyFont="1" applyBorder="1" applyProtection="1">
      <protection hidden="1"/>
    </xf>
    <xf numFmtId="0" fontId="1" fillId="0" borderId="50" xfId="0" applyFont="1" applyBorder="1" applyProtection="1">
      <protection hidden="1"/>
    </xf>
    <xf numFmtId="0" fontId="12" fillId="0" borderId="80" xfId="0" applyFont="1" applyBorder="1" applyAlignment="1" applyProtection="1">
      <alignment vertical="center"/>
      <protection hidden="1"/>
    </xf>
    <xf numFmtId="0" fontId="12" fillId="0" borderId="81" xfId="0" applyFont="1" applyBorder="1" applyAlignment="1" applyProtection="1">
      <alignment vertical="center"/>
      <protection hidden="1"/>
    </xf>
    <xf numFmtId="0" fontId="12" fillId="0" borderId="80" xfId="0" applyFont="1" applyBorder="1" applyProtection="1">
      <protection hidden="1"/>
    </xf>
    <xf numFmtId="0" fontId="12" fillId="0" borderId="81" xfId="0" applyFont="1" applyBorder="1" applyProtection="1">
      <protection hidden="1"/>
    </xf>
    <xf numFmtId="0" fontId="35" fillId="8" borderId="21" xfId="0" applyFont="1" applyFill="1" applyBorder="1" applyAlignment="1" applyProtection="1">
      <alignment horizontal="center" vertical="center"/>
      <protection hidden="1"/>
    </xf>
    <xf numFmtId="0" fontId="35" fillId="8" borderId="20" xfId="0" applyFont="1" applyFill="1" applyBorder="1" applyAlignment="1" applyProtection="1">
      <alignment horizontal="center" vertical="center"/>
      <protection hidden="1"/>
    </xf>
    <xf numFmtId="0" fontId="147" fillId="0" borderId="7" xfId="0" applyFont="1" applyBorder="1" applyAlignment="1">
      <alignment horizontal="center"/>
    </xf>
    <xf numFmtId="0" fontId="147" fillId="0" borderId="1" xfId="0" applyFont="1" applyBorder="1" applyAlignment="1">
      <alignment horizontal="center"/>
    </xf>
    <xf numFmtId="0" fontId="147" fillId="0" borderId="2" xfId="0" applyFont="1" applyBorder="1" applyAlignment="1">
      <alignment horizontal="center"/>
    </xf>
    <xf numFmtId="0" fontId="40" fillId="0" borderId="0" xfId="0" applyFont="1" applyAlignment="1" applyProtection="1">
      <alignment vertical="center"/>
      <protection hidden="1"/>
    </xf>
    <xf numFmtId="0" fontId="44" fillId="0" borderId="0" xfId="0" applyFont="1" applyAlignment="1" applyProtection="1">
      <alignment horizontal="center" vertical="center"/>
      <protection hidden="1"/>
    </xf>
    <xf numFmtId="0" fontId="41" fillId="0" borderId="0" xfId="0" applyFont="1" applyAlignment="1" applyProtection="1">
      <alignment vertical="center"/>
      <protection hidden="1"/>
    </xf>
    <xf numFmtId="9" fontId="18" fillId="0" borderId="0" xfId="3" applyFont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17" fillId="0" borderId="9" xfId="0" applyFont="1" applyBorder="1" applyAlignment="1" applyProtection="1">
      <alignment horizontal="center" vertical="center"/>
      <protection hidden="1"/>
    </xf>
    <xf numFmtId="0" fontId="7" fillId="0" borderId="9" xfId="0" applyFont="1" applyBorder="1" applyAlignment="1" applyProtection="1">
      <alignment horizontal="center" vertical="center"/>
      <protection hidden="1"/>
    </xf>
    <xf numFmtId="0" fontId="0" fillId="0" borderId="2" xfId="0" applyBorder="1" applyProtection="1">
      <protection hidden="1"/>
    </xf>
    <xf numFmtId="0" fontId="144" fillId="0" borderId="0" xfId="0" applyFont="1"/>
    <xf numFmtId="0" fontId="147" fillId="0" borderId="0" xfId="0" applyFont="1" applyAlignment="1">
      <alignment horizontal="center"/>
    </xf>
    <xf numFmtId="0" fontId="147" fillId="0" borderId="0" xfId="0" applyFont="1" applyAlignment="1" applyProtection="1">
      <alignment horizontal="center"/>
      <protection hidden="1"/>
    </xf>
    <xf numFmtId="167" fontId="0" fillId="0" borderId="0" xfId="2" applyNumberFormat="1" applyFont="1" applyAlignment="1" applyProtection="1">
      <alignment vertical="center"/>
      <protection hidden="1"/>
    </xf>
    <xf numFmtId="166" fontId="0" fillId="0" borderId="67" xfId="1" applyFont="1" applyBorder="1" applyAlignment="1" applyProtection="1">
      <alignment vertical="center"/>
      <protection hidden="1"/>
    </xf>
    <xf numFmtId="169" fontId="0" fillId="0" borderId="16" xfId="2" applyFont="1" applyBorder="1" applyAlignment="1" applyProtection="1">
      <alignment vertical="center"/>
      <protection hidden="1"/>
    </xf>
    <xf numFmtId="169" fontId="0" fillId="0" borderId="56" xfId="2" applyFont="1" applyBorder="1" applyAlignment="1" applyProtection="1">
      <alignment vertical="center"/>
      <protection hidden="1"/>
    </xf>
    <xf numFmtId="166" fontId="0" fillId="0" borderId="7" xfId="1" applyFont="1" applyBorder="1" applyAlignment="1" applyProtection="1">
      <alignment vertical="center"/>
      <protection hidden="1"/>
    </xf>
    <xf numFmtId="169" fontId="0" fillId="0" borderId="25" xfId="2" applyFont="1" applyBorder="1" applyAlignment="1" applyProtection="1">
      <alignment vertical="center"/>
      <protection hidden="1"/>
    </xf>
    <xf numFmtId="169" fontId="0" fillId="0" borderId="1" xfId="2" applyFont="1" applyBorder="1" applyAlignment="1" applyProtection="1">
      <alignment vertical="center"/>
      <protection hidden="1"/>
    </xf>
    <xf numFmtId="170" fontId="0" fillId="0" borderId="7" xfId="1" applyNumberFormat="1" applyFont="1" applyBorder="1" applyAlignment="1" applyProtection="1">
      <alignment vertical="center"/>
      <protection hidden="1"/>
    </xf>
    <xf numFmtId="170" fontId="0" fillId="0" borderId="5" xfId="1" applyNumberFormat="1" applyFont="1" applyBorder="1" applyAlignment="1" applyProtection="1">
      <alignment vertical="center"/>
      <protection hidden="1"/>
    </xf>
    <xf numFmtId="166" fontId="0" fillId="0" borderId="5" xfId="1" applyFont="1" applyBorder="1" applyAlignment="1" applyProtection="1">
      <alignment vertical="center"/>
      <protection hidden="1"/>
    </xf>
    <xf numFmtId="169" fontId="11" fillId="0" borderId="32" xfId="2" applyFont="1" applyBorder="1" applyAlignment="1" applyProtection="1">
      <alignment vertical="center"/>
      <protection hidden="1"/>
    </xf>
    <xf numFmtId="169" fontId="11" fillId="0" borderId="33" xfId="2" applyFont="1" applyBorder="1" applyAlignment="1" applyProtection="1">
      <alignment vertical="center"/>
      <protection hidden="1"/>
    </xf>
    <xf numFmtId="171" fontId="0" fillId="0" borderId="5" xfId="1" applyNumberFormat="1" applyFont="1" applyBorder="1" applyAlignment="1" applyProtection="1">
      <alignment vertical="center"/>
      <protection hidden="1"/>
    </xf>
    <xf numFmtId="171" fontId="0" fillId="0" borderId="8" xfId="1" applyNumberFormat="1" applyFont="1" applyBorder="1" applyAlignment="1" applyProtection="1">
      <alignment vertical="center"/>
      <protection hidden="1"/>
    </xf>
    <xf numFmtId="171" fontId="0" fillId="0" borderId="9" xfId="1" applyNumberFormat="1" applyFont="1" applyBorder="1" applyAlignment="1" applyProtection="1">
      <alignment vertical="center"/>
      <protection hidden="1"/>
    </xf>
    <xf numFmtId="169" fontId="0" fillId="0" borderId="8" xfId="2" applyFont="1" applyBorder="1" applyAlignment="1" applyProtection="1">
      <alignment vertical="center"/>
      <protection hidden="1"/>
    </xf>
    <xf numFmtId="169" fontId="0" fillId="0" borderId="9" xfId="2" applyFont="1" applyBorder="1" applyAlignment="1" applyProtection="1">
      <alignment vertical="center"/>
      <protection hidden="1"/>
    </xf>
    <xf numFmtId="171" fontId="0" fillId="0" borderId="7" xfId="1" applyNumberFormat="1" applyFont="1" applyBorder="1" applyAlignment="1" applyProtection="1">
      <alignment vertical="center"/>
      <protection hidden="1"/>
    </xf>
    <xf numFmtId="171" fontId="0" fillId="0" borderId="25" xfId="1" applyNumberFormat="1" applyFont="1" applyBorder="1" applyAlignment="1" applyProtection="1">
      <alignment vertical="center"/>
      <protection hidden="1"/>
    </xf>
    <xf numFmtId="171" fontId="0" fillId="0" borderId="1" xfId="1" applyNumberFormat="1" applyFont="1" applyBorder="1" applyAlignment="1" applyProtection="1">
      <alignment vertical="center"/>
      <protection hidden="1"/>
    </xf>
    <xf numFmtId="171" fontId="0" fillId="0" borderId="30" xfId="1" applyNumberFormat="1" applyFont="1" applyBorder="1" applyAlignment="1" applyProtection="1">
      <alignment vertical="center"/>
      <protection hidden="1"/>
    </xf>
    <xf numFmtId="169" fontId="11" fillId="0" borderId="25" xfId="2" applyFont="1" applyBorder="1" applyAlignment="1" applyProtection="1">
      <alignment vertical="center"/>
      <protection hidden="1"/>
    </xf>
    <xf numFmtId="169" fontId="11" fillId="0" borderId="1" xfId="2" applyFont="1" applyBorder="1" applyAlignment="1" applyProtection="1">
      <alignment vertical="center"/>
      <protection hidden="1"/>
    </xf>
    <xf numFmtId="169" fontId="0" fillId="0" borderId="18" xfId="2" applyFont="1" applyBorder="1" applyAlignment="1" applyProtection="1">
      <alignment vertical="center"/>
      <protection hidden="1"/>
    </xf>
    <xf numFmtId="169" fontId="0" fillId="0" borderId="59" xfId="2" applyFont="1" applyBorder="1" applyAlignment="1" applyProtection="1">
      <alignment vertical="center"/>
      <protection hidden="1"/>
    </xf>
    <xf numFmtId="171" fontId="8" fillId="5" borderId="21" xfId="1" applyNumberFormat="1" applyFont="1" applyFill="1" applyBorder="1" applyAlignment="1" applyProtection="1">
      <alignment vertical="center"/>
      <protection hidden="1"/>
    </xf>
    <xf numFmtId="167" fontId="8" fillId="5" borderId="21" xfId="2" applyNumberFormat="1" applyFont="1" applyFill="1" applyBorder="1" applyAlignment="1" applyProtection="1">
      <alignment vertical="center"/>
      <protection hidden="1"/>
    </xf>
    <xf numFmtId="171" fontId="26" fillId="0" borderId="0" xfId="1" applyNumberFormat="1" applyFont="1" applyAlignment="1" applyProtection="1">
      <alignment horizontal="right" vertical="center"/>
      <protection hidden="1"/>
    </xf>
    <xf numFmtId="166" fontId="0" fillId="0" borderId="0" xfId="1" applyFont="1" applyAlignment="1" applyProtection="1">
      <alignment vertical="center"/>
      <protection hidden="1"/>
    </xf>
    <xf numFmtId="166" fontId="22" fillId="0" borderId="0" xfId="1" applyFont="1" applyAlignment="1" applyProtection="1">
      <alignment vertical="center" wrapText="1"/>
      <protection hidden="1"/>
    </xf>
    <xf numFmtId="166" fontId="12" fillId="0" borderId="5" xfId="1" applyFont="1" applyBorder="1" applyAlignment="1" applyProtection="1">
      <alignment vertical="center"/>
      <protection hidden="1"/>
    </xf>
    <xf numFmtId="171" fontId="8" fillId="0" borderId="11" xfId="1" applyNumberFormat="1" applyFont="1" applyBorder="1" applyAlignment="1" applyProtection="1">
      <alignment vertical="center"/>
      <protection hidden="1"/>
    </xf>
    <xf numFmtId="171" fontId="8" fillId="0" borderId="12" xfId="1" applyNumberFormat="1" applyFont="1" applyBorder="1" applyAlignment="1" applyProtection="1">
      <alignment vertical="center"/>
      <protection hidden="1"/>
    </xf>
    <xf numFmtId="166" fontId="0" fillId="0" borderId="0" xfId="0" applyNumberFormat="1" applyAlignment="1" applyProtection="1">
      <alignment vertical="center"/>
      <protection hidden="1"/>
    </xf>
    <xf numFmtId="166" fontId="6" fillId="0" borderId="0" xfId="1" applyFont="1" applyAlignment="1" applyProtection="1">
      <alignment vertical="center"/>
      <protection hidden="1"/>
    </xf>
    <xf numFmtId="171" fontId="37" fillId="9" borderId="21" xfId="1" applyNumberFormat="1" applyFont="1" applyFill="1" applyBorder="1" applyAlignment="1" applyProtection="1">
      <alignment vertical="center"/>
      <protection hidden="1"/>
    </xf>
    <xf numFmtId="167" fontId="37" fillId="9" borderId="21" xfId="2" applyNumberFormat="1" applyFont="1" applyFill="1" applyBorder="1" applyAlignment="1" applyProtection="1">
      <alignment vertical="center"/>
      <protection hidden="1"/>
    </xf>
    <xf numFmtId="167" fontId="8" fillId="0" borderId="36" xfId="2" applyNumberFormat="1" applyFont="1" applyBorder="1" applyAlignment="1" applyProtection="1">
      <alignment vertical="center"/>
      <protection hidden="1"/>
    </xf>
    <xf numFmtId="167" fontId="8" fillId="0" borderId="37" xfId="2" applyNumberFormat="1" applyFont="1" applyBorder="1" applyAlignment="1" applyProtection="1">
      <alignment vertical="center"/>
      <protection hidden="1"/>
    </xf>
    <xf numFmtId="171" fontId="23" fillId="0" borderId="0" xfId="1" applyNumberFormat="1" applyFont="1" applyAlignment="1" applyProtection="1">
      <alignment horizontal="right" vertical="center"/>
      <protection hidden="1"/>
    </xf>
    <xf numFmtId="167" fontId="8" fillId="0" borderId="40" xfId="2" applyNumberFormat="1" applyFont="1" applyBorder="1" applyAlignment="1" applyProtection="1">
      <alignment vertical="center"/>
      <protection hidden="1"/>
    </xf>
    <xf numFmtId="167" fontId="8" fillId="0" borderId="41" xfId="2" applyNumberFormat="1" applyFont="1" applyBorder="1" applyAlignment="1" applyProtection="1">
      <alignment vertical="center"/>
      <protection hidden="1"/>
    </xf>
    <xf numFmtId="167" fontId="12" fillId="0" borderId="7" xfId="2" applyNumberFormat="1" applyFont="1" applyBorder="1" applyAlignment="1" applyProtection="1">
      <alignment vertical="center"/>
      <protection hidden="1"/>
    </xf>
    <xf numFmtId="167" fontId="12" fillId="0" borderId="1" xfId="2" applyNumberFormat="1" applyFont="1" applyBorder="1" applyAlignment="1" applyProtection="1">
      <alignment vertical="center"/>
      <protection hidden="1"/>
    </xf>
    <xf numFmtId="171" fontId="28" fillId="0" borderId="0" xfId="1" applyNumberFormat="1" applyFont="1" applyAlignment="1" applyProtection="1">
      <alignment horizontal="right" vertical="center"/>
      <protection hidden="1"/>
    </xf>
    <xf numFmtId="167" fontId="8" fillId="0" borderId="11" xfId="2" applyNumberFormat="1" applyFont="1" applyBorder="1" applyAlignment="1" applyProtection="1">
      <alignment vertical="center"/>
      <protection hidden="1"/>
    </xf>
    <xf numFmtId="167" fontId="8" fillId="0" borderId="12" xfId="2" applyNumberFormat="1" applyFont="1" applyBorder="1" applyAlignment="1" applyProtection="1">
      <alignment vertical="center"/>
      <protection hidden="1"/>
    </xf>
    <xf numFmtId="166" fontId="0" fillId="0" borderId="8" xfId="1" applyFont="1" applyBorder="1" applyAlignment="1" applyProtection="1">
      <alignment vertical="center"/>
      <protection hidden="1"/>
    </xf>
    <xf numFmtId="166" fontId="0" fillId="0" borderId="9" xfId="1" applyFont="1" applyBorder="1" applyAlignment="1" applyProtection="1">
      <alignment vertical="center"/>
      <protection hidden="1"/>
    </xf>
    <xf numFmtId="169" fontId="6" fillId="0" borderId="25" xfId="2" applyFont="1" applyBorder="1" applyAlignment="1" applyProtection="1">
      <alignment vertical="center"/>
      <protection hidden="1"/>
    </xf>
    <xf numFmtId="169" fontId="6" fillId="0" borderId="1" xfId="2" applyFont="1" applyBorder="1" applyAlignment="1" applyProtection="1">
      <alignment vertical="center"/>
      <protection hidden="1"/>
    </xf>
    <xf numFmtId="171" fontId="9" fillId="11" borderId="21" xfId="1" applyNumberFormat="1" applyFont="1" applyFill="1" applyBorder="1" applyAlignment="1" applyProtection="1">
      <alignment vertical="center"/>
      <protection hidden="1"/>
    </xf>
    <xf numFmtId="167" fontId="9" fillId="11" borderId="21" xfId="2" applyNumberFormat="1" applyFont="1" applyFill="1" applyBorder="1" applyAlignment="1" applyProtection="1">
      <alignment vertical="center"/>
      <protection hidden="1"/>
    </xf>
    <xf numFmtId="171" fontId="24" fillId="0" borderId="0" xfId="1" applyNumberFormat="1" applyFont="1" applyAlignment="1" applyProtection="1">
      <alignment horizontal="center" vertical="center"/>
      <protection hidden="1"/>
    </xf>
    <xf numFmtId="171" fontId="24" fillId="0" borderId="0" xfId="1" applyNumberFormat="1" applyFont="1" applyAlignment="1" applyProtection="1">
      <alignment vertical="center"/>
      <protection hidden="1"/>
    </xf>
    <xf numFmtId="167" fontId="3" fillId="0" borderId="7" xfId="2" applyNumberFormat="1" applyFont="1" applyBorder="1" applyAlignment="1" applyProtection="1">
      <alignment vertical="center"/>
      <protection hidden="1"/>
    </xf>
    <xf numFmtId="167" fontId="3" fillId="0" borderId="1" xfId="2" applyNumberFormat="1" applyFont="1" applyBorder="1" applyAlignment="1" applyProtection="1">
      <alignment vertical="center"/>
      <protection hidden="1"/>
    </xf>
    <xf numFmtId="166" fontId="0" fillId="0" borderId="5" xfId="1" applyFont="1" applyBorder="1" applyProtection="1">
      <protection hidden="1"/>
    </xf>
    <xf numFmtId="169" fontId="0" fillId="0" borderId="8" xfId="2" applyFont="1" applyBorder="1" applyProtection="1">
      <protection hidden="1"/>
    </xf>
    <xf numFmtId="169" fontId="0" fillId="0" borderId="47" xfId="2" applyFont="1" applyBorder="1" applyProtection="1">
      <protection hidden="1"/>
    </xf>
    <xf numFmtId="171" fontId="0" fillId="0" borderId="7" xfId="1" applyNumberFormat="1" applyFont="1" applyBorder="1" applyProtection="1">
      <protection hidden="1"/>
    </xf>
    <xf numFmtId="169" fontId="0" fillId="0" borderId="9" xfId="2" applyFont="1" applyBorder="1" applyProtection="1">
      <protection hidden="1"/>
    </xf>
    <xf numFmtId="170" fontId="0" fillId="0" borderId="7" xfId="1" applyNumberFormat="1" applyFont="1" applyBorder="1" applyProtection="1">
      <protection hidden="1"/>
    </xf>
    <xf numFmtId="170" fontId="0" fillId="0" borderId="5" xfId="1" applyNumberFormat="1" applyFont="1" applyBorder="1" applyProtection="1">
      <protection hidden="1"/>
    </xf>
    <xf numFmtId="166" fontId="0" fillId="0" borderId="7" xfId="1" applyFont="1" applyBorder="1" applyProtection="1">
      <protection hidden="1"/>
    </xf>
    <xf numFmtId="169" fontId="11" fillId="0" borderId="32" xfId="2" applyFont="1" applyBorder="1" applyProtection="1">
      <protection hidden="1"/>
    </xf>
    <xf numFmtId="169" fontId="11" fillId="0" borderId="33" xfId="2" applyFont="1" applyBorder="1" applyProtection="1">
      <protection hidden="1"/>
    </xf>
    <xf numFmtId="171" fontId="0" fillId="0" borderId="5" xfId="1" applyNumberFormat="1" applyFont="1" applyBorder="1" applyProtection="1">
      <protection hidden="1"/>
    </xf>
    <xf numFmtId="169" fontId="0" fillId="0" borderId="25" xfId="2" applyFont="1" applyBorder="1" applyProtection="1">
      <protection hidden="1"/>
    </xf>
    <xf numFmtId="169" fontId="0" fillId="0" borderId="1" xfId="2" applyFont="1" applyBorder="1" applyProtection="1">
      <protection hidden="1"/>
    </xf>
    <xf numFmtId="169" fontId="11" fillId="0" borderId="25" xfId="2" applyFont="1" applyBorder="1" applyProtection="1">
      <protection hidden="1"/>
    </xf>
    <xf numFmtId="169" fontId="11" fillId="0" borderId="1" xfId="2" applyFont="1" applyBorder="1" applyProtection="1">
      <protection hidden="1"/>
    </xf>
    <xf numFmtId="171" fontId="8" fillId="6" borderId="21" xfId="1" applyNumberFormat="1" applyFont="1" applyFill="1" applyBorder="1" applyProtection="1">
      <protection hidden="1"/>
    </xf>
    <xf numFmtId="167" fontId="8" fillId="6" borderId="21" xfId="2" applyNumberFormat="1" applyFont="1" applyFill="1" applyBorder="1" applyProtection="1">
      <protection hidden="1"/>
    </xf>
    <xf numFmtId="166" fontId="16" fillId="0" borderId="0" xfId="0" applyNumberFormat="1" applyFont="1" applyAlignment="1" applyProtection="1">
      <alignment vertical="center"/>
      <protection hidden="1"/>
    </xf>
    <xf numFmtId="166" fontId="22" fillId="0" borderId="0" xfId="1" applyFont="1" applyAlignment="1" applyProtection="1">
      <alignment wrapText="1"/>
      <protection hidden="1"/>
    </xf>
    <xf numFmtId="166" fontId="12" fillId="0" borderId="5" xfId="1" applyFont="1" applyBorder="1" applyProtection="1">
      <protection hidden="1"/>
    </xf>
    <xf numFmtId="171" fontId="17" fillId="0" borderId="1" xfId="1" applyNumberFormat="1" applyFont="1" applyBorder="1" applyAlignment="1" applyProtection="1">
      <alignment horizontal="center" vertical="center"/>
      <protection hidden="1"/>
    </xf>
    <xf numFmtId="167" fontId="0" fillId="0" borderId="16" xfId="2" applyNumberFormat="1" applyFont="1" applyBorder="1" applyAlignment="1" applyProtection="1">
      <alignment vertical="center"/>
      <protection hidden="1"/>
    </xf>
    <xf numFmtId="168" fontId="0" fillId="0" borderId="79" xfId="1" applyNumberFormat="1" applyFont="1" applyBorder="1" applyAlignment="1" applyProtection="1">
      <alignment horizontal="center" vertical="center"/>
      <protection hidden="1"/>
    </xf>
    <xf numFmtId="172" fontId="87" fillId="0" borderId="0" xfId="3" applyNumberFormat="1" applyFont="1" applyAlignment="1" applyProtection="1">
      <alignment horizontal="center" vertical="center"/>
      <protection hidden="1"/>
    </xf>
    <xf numFmtId="167" fontId="0" fillId="0" borderId="25" xfId="2" applyNumberFormat="1" applyFont="1" applyBorder="1" applyAlignment="1" applyProtection="1">
      <alignment vertical="center"/>
      <protection hidden="1"/>
    </xf>
    <xf numFmtId="167" fontId="11" fillId="0" borderId="32" xfId="2" applyNumberFormat="1" applyFont="1" applyBorder="1" applyAlignment="1" applyProtection="1">
      <alignment vertical="center"/>
      <protection hidden="1"/>
    </xf>
    <xf numFmtId="168" fontId="11" fillId="0" borderId="81" xfId="1" applyNumberFormat="1" applyFont="1" applyBorder="1" applyAlignment="1" applyProtection="1">
      <alignment horizontal="center" vertical="center"/>
      <protection hidden="1"/>
    </xf>
    <xf numFmtId="168" fontId="0" fillId="0" borderId="78" xfId="1" applyNumberFormat="1" applyFont="1" applyBorder="1" applyAlignment="1" applyProtection="1">
      <alignment horizontal="center" vertical="center"/>
      <protection hidden="1"/>
    </xf>
    <xf numFmtId="168" fontId="11" fillId="0" borderId="79" xfId="1" applyNumberFormat="1" applyFont="1" applyBorder="1" applyAlignment="1" applyProtection="1">
      <alignment horizontal="center" vertical="center"/>
      <protection hidden="1"/>
    </xf>
    <xf numFmtId="168" fontId="0" fillId="0" borderId="81" xfId="1" applyNumberFormat="1" applyFont="1" applyBorder="1" applyAlignment="1" applyProtection="1">
      <alignment horizontal="center" vertical="center"/>
      <protection hidden="1"/>
    </xf>
    <xf numFmtId="173" fontId="8" fillId="5" borderId="21" xfId="1" applyNumberFormat="1" applyFont="1" applyFill="1" applyBorder="1" applyAlignment="1" applyProtection="1">
      <alignment vertical="center"/>
      <protection hidden="1"/>
    </xf>
    <xf numFmtId="168" fontId="8" fillId="5" borderId="35" xfId="1" applyNumberFormat="1" applyFont="1" applyFill="1" applyBorder="1" applyAlignment="1" applyProtection="1">
      <alignment horizontal="center" vertical="center"/>
      <protection hidden="1"/>
    </xf>
    <xf numFmtId="164" fontId="187" fillId="0" borderId="0" xfId="1" applyNumberFormat="1" applyFont="1" applyAlignment="1" applyProtection="1">
      <alignment wrapText="1"/>
      <protection hidden="1"/>
    </xf>
    <xf numFmtId="168" fontId="8" fillId="0" borderId="12" xfId="1" applyNumberFormat="1" applyFont="1" applyBorder="1" applyAlignment="1" applyProtection="1">
      <alignment vertical="center"/>
      <protection hidden="1"/>
    </xf>
    <xf numFmtId="171" fontId="71" fillId="0" borderId="0" xfId="1" applyNumberFormat="1" applyFont="1" applyAlignment="1" applyProtection="1">
      <alignment horizontal="right" vertical="center"/>
      <protection hidden="1"/>
    </xf>
    <xf numFmtId="167" fontId="0" fillId="0" borderId="23" xfId="2" applyNumberFormat="1" applyFont="1" applyBorder="1" applyAlignment="1" applyProtection="1">
      <alignment vertical="center"/>
      <protection hidden="1"/>
    </xf>
    <xf numFmtId="167" fontId="11" fillId="0" borderId="29" xfId="2" applyNumberFormat="1" applyFont="1" applyBorder="1" applyAlignment="1" applyProtection="1">
      <alignment vertical="center"/>
      <protection hidden="1"/>
    </xf>
    <xf numFmtId="167" fontId="0" fillId="0" borderId="28" xfId="2" applyNumberFormat="1" applyFont="1" applyBorder="1" applyAlignment="1" applyProtection="1">
      <alignment vertical="center"/>
      <protection hidden="1"/>
    </xf>
    <xf numFmtId="166" fontId="0" fillId="0" borderId="1" xfId="1" applyFont="1" applyBorder="1" applyAlignment="1" applyProtection="1">
      <alignment vertical="center"/>
      <protection hidden="1"/>
    </xf>
    <xf numFmtId="167" fontId="6" fillId="0" borderId="23" xfId="2" applyNumberFormat="1" applyFont="1" applyBorder="1" applyAlignment="1" applyProtection="1">
      <alignment vertical="center"/>
      <protection hidden="1"/>
    </xf>
    <xf numFmtId="168" fontId="6" fillId="0" borderId="79" xfId="1" applyNumberFormat="1" applyFont="1" applyBorder="1" applyAlignment="1" applyProtection="1">
      <alignment horizontal="center" vertical="center"/>
      <protection hidden="1"/>
    </xf>
    <xf numFmtId="168" fontId="0" fillId="0" borderId="58" xfId="1" applyNumberFormat="1" applyFont="1" applyBorder="1" applyAlignment="1" applyProtection="1">
      <alignment horizontal="center" vertical="center"/>
      <protection hidden="1"/>
    </xf>
    <xf numFmtId="173" fontId="9" fillId="13" borderId="21" xfId="1" applyNumberFormat="1" applyFont="1" applyFill="1" applyBorder="1" applyAlignment="1" applyProtection="1">
      <alignment vertical="center"/>
      <protection hidden="1"/>
    </xf>
    <xf numFmtId="167" fontId="9" fillId="13" borderId="21" xfId="2" applyNumberFormat="1" applyFont="1" applyFill="1" applyBorder="1" applyAlignment="1" applyProtection="1">
      <alignment vertical="center"/>
      <protection hidden="1"/>
    </xf>
    <xf numFmtId="168" fontId="9" fillId="13" borderId="20" xfId="1" applyNumberFormat="1" applyFont="1" applyFill="1" applyBorder="1" applyAlignment="1" applyProtection="1">
      <alignment horizontal="center" vertical="center"/>
      <protection hidden="1"/>
    </xf>
    <xf numFmtId="171" fontId="8" fillId="0" borderId="37" xfId="1" applyNumberFormat="1" applyFont="1" applyBorder="1" applyAlignment="1" applyProtection="1">
      <alignment vertical="center"/>
      <protection hidden="1"/>
    </xf>
    <xf numFmtId="167" fontId="6" fillId="0" borderId="29" xfId="2" applyNumberFormat="1" applyFont="1" applyBorder="1" applyAlignment="1" applyProtection="1">
      <alignment vertical="center"/>
      <protection hidden="1"/>
    </xf>
    <xf numFmtId="167" fontId="11" fillId="0" borderId="23" xfId="2" applyNumberFormat="1" applyFont="1" applyBorder="1" applyAlignment="1" applyProtection="1">
      <alignment vertical="center"/>
      <protection hidden="1"/>
    </xf>
    <xf numFmtId="169" fontId="0" fillId="0" borderId="29" xfId="2" applyFont="1" applyBorder="1" applyAlignment="1" applyProtection="1">
      <alignment vertical="center"/>
      <protection hidden="1"/>
    </xf>
    <xf numFmtId="168" fontId="37" fillId="9" borderId="20" xfId="1" applyNumberFormat="1" applyFont="1" applyFill="1" applyBorder="1" applyAlignment="1" applyProtection="1">
      <alignment horizontal="center" vertical="center"/>
      <protection hidden="1"/>
    </xf>
    <xf numFmtId="166" fontId="12" fillId="22" borderId="5" xfId="1" applyFont="1" applyFill="1" applyBorder="1" applyAlignment="1" applyProtection="1">
      <alignment vertical="center"/>
      <protection locked="0" hidden="1"/>
    </xf>
    <xf numFmtId="168" fontId="8" fillId="0" borderId="37" xfId="1" applyNumberFormat="1" applyFont="1" applyBorder="1" applyAlignment="1" applyProtection="1">
      <alignment vertical="center"/>
      <protection hidden="1"/>
    </xf>
    <xf numFmtId="165" fontId="8" fillId="0" borderId="41" xfId="0" applyNumberFormat="1" applyFont="1" applyBorder="1" applyAlignment="1" applyProtection="1">
      <alignment horizontal="center" vertical="center"/>
      <protection hidden="1"/>
    </xf>
    <xf numFmtId="165" fontId="11" fillId="0" borderId="1" xfId="0" applyNumberFormat="1" applyFont="1" applyBorder="1" applyAlignment="1" applyProtection="1">
      <alignment horizontal="center" vertical="center"/>
      <protection hidden="1"/>
    </xf>
    <xf numFmtId="165" fontId="8" fillId="0" borderId="12" xfId="0" applyNumberFormat="1" applyFont="1" applyBorder="1" applyAlignment="1" applyProtection="1">
      <alignment horizontal="center" vertical="center"/>
      <protection hidden="1"/>
    </xf>
    <xf numFmtId="171" fontId="17" fillId="0" borderId="1" xfId="1" applyNumberFormat="1" applyFont="1" applyBorder="1" applyAlignment="1" applyProtection="1">
      <alignment horizontal="center"/>
      <protection hidden="1"/>
    </xf>
    <xf numFmtId="167" fontId="0" fillId="0" borderId="54" xfId="2" applyNumberFormat="1" applyFont="1" applyBorder="1" applyProtection="1">
      <protection hidden="1"/>
    </xf>
    <xf numFmtId="168" fontId="0" fillId="0" borderId="17" xfId="1" applyNumberFormat="1" applyFont="1" applyBorder="1" applyAlignment="1" applyProtection="1">
      <alignment horizontal="center"/>
      <protection hidden="1"/>
    </xf>
    <xf numFmtId="167" fontId="0" fillId="0" borderId="28" xfId="2" applyNumberFormat="1" applyFont="1" applyBorder="1" applyProtection="1">
      <protection hidden="1"/>
    </xf>
    <xf numFmtId="168" fontId="0" fillId="0" borderId="78" xfId="1" applyNumberFormat="1" applyFont="1" applyBorder="1" applyAlignment="1" applyProtection="1">
      <alignment horizontal="center"/>
      <protection hidden="1"/>
    </xf>
    <xf numFmtId="167" fontId="0" fillId="0" borderId="23" xfId="2" applyNumberFormat="1" applyFont="1" applyBorder="1" applyProtection="1">
      <protection hidden="1"/>
    </xf>
    <xf numFmtId="168" fontId="0" fillId="0" borderId="79" xfId="1" applyNumberFormat="1" applyFont="1" applyBorder="1" applyAlignment="1" applyProtection="1">
      <alignment horizontal="center"/>
      <protection hidden="1"/>
    </xf>
    <xf numFmtId="166" fontId="181" fillId="0" borderId="0" xfId="1" applyFont="1" applyAlignment="1" applyProtection="1">
      <alignment vertical="center"/>
      <protection hidden="1"/>
    </xf>
    <xf numFmtId="166" fontId="12" fillId="0" borderId="30" xfId="1" applyFont="1" applyBorder="1" applyProtection="1">
      <protection hidden="1"/>
    </xf>
    <xf numFmtId="167" fontId="11" fillId="0" borderId="29" xfId="2" applyNumberFormat="1" applyFont="1" applyBorder="1" applyProtection="1">
      <protection hidden="1"/>
    </xf>
    <xf numFmtId="168" fontId="11" fillId="0" borderId="81" xfId="1" applyNumberFormat="1" applyFont="1" applyBorder="1" applyAlignment="1" applyProtection="1">
      <alignment horizontal="center"/>
      <protection hidden="1"/>
    </xf>
    <xf numFmtId="167" fontId="11" fillId="0" borderId="23" xfId="2" applyNumberFormat="1" applyFont="1" applyBorder="1" applyProtection="1">
      <protection hidden="1"/>
    </xf>
    <xf numFmtId="168" fontId="11" fillId="0" borderId="79" xfId="1" applyNumberFormat="1" applyFont="1" applyBorder="1" applyAlignment="1" applyProtection="1">
      <alignment horizontal="center"/>
      <protection hidden="1"/>
    </xf>
    <xf numFmtId="171" fontId="0" fillId="0" borderId="30" xfId="1" applyNumberFormat="1" applyFont="1" applyBorder="1" applyProtection="1">
      <protection hidden="1"/>
    </xf>
    <xf numFmtId="167" fontId="0" fillId="0" borderId="32" xfId="2" applyNumberFormat="1" applyFont="1" applyBorder="1" applyProtection="1">
      <protection hidden="1"/>
    </xf>
    <xf numFmtId="168" fontId="0" fillId="0" borderId="31" xfId="1" applyNumberFormat="1" applyFont="1" applyBorder="1" applyAlignment="1" applyProtection="1">
      <alignment horizontal="center"/>
      <protection hidden="1"/>
    </xf>
    <xf numFmtId="166" fontId="12" fillId="22" borderId="5" xfId="1" applyFont="1" applyFill="1" applyBorder="1" applyProtection="1">
      <protection locked="0" hidden="1"/>
    </xf>
    <xf numFmtId="166" fontId="188" fillId="0" borderId="0" xfId="1" applyFont="1" applyAlignment="1" applyProtection="1">
      <alignment vertical="center"/>
      <protection hidden="1"/>
    </xf>
    <xf numFmtId="167" fontId="0" fillId="0" borderId="0" xfId="0" applyNumberFormat="1" applyAlignment="1" applyProtection="1">
      <alignment vertical="center"/>
      <protection hidden="1"/>
    </xf>
    <xf numFmtId="167" fontId="181" fillId="0" borderId="0" xfId="0" applyNumberFormat="1" applyFont="1" applyAlignment="1" applyProtection="1">
      <alignment vertical="center"/>
      <protection hidden="1"/>
    </xf>
    <xf numFmtId="166" fontId="181" fillId="0" borderId="0" xfId="0" applyNumberFormat="1" applyFont="1" applyAlignment="1" applyProtection="1">
      <alignment vertical="center"/>
      <protection hidden="1"/>
    </xf>
    <xf numFmtId="165" fontId="6" fillId="0" borderId="5" xfId="0" applyNumberFormat="1" applyFont="1" applyBorder="1" applyAlignment="1" applyProtection="1">
      <alignment vertical="center"/>
      <protection hidden="1"/>
    </xf>
    <xf numFmtId="167" fontId="3" fillId="0" borderId="9" xfId="2" applyNumberFormat="1" applyFont="1" applyBorder="1" applyAlignment="1" applyProtection="1">
      <alignment vertical="center"/>
      <protection hidden="1"/>
    </xf>
    <xf numFmtId="165" fontId="6" fillId="0" borderId="2" xfId="0" applyNumberFormat="1" applyFont="1" applyBorder="1" applyAlignment="1" applyProtection="1">
      <alignment horizontal="center" vertical="center"/>
      <protection hidden="1"/>
    </xf>
    <xf numFmtId="167" fontId="0" fillId="0" borderId="54" xfId="2" applyNumberFormat="1" applyFont="1" applyBorder="1" applyAlignment="1" applyProtection="1">
      <alignment vertical="center"/>
      <protection hidden="1"/>
    </xf>
    <xf numFmtId="168" fontId="0" fillId="0" borderId="17" xfId="1" applyNumberFormat="1" applyFont="1" applyBorder="1" applyAlignment="1" applyProtection="1">
      <alignment horizontal="center" vertical="center"/>
      <protection hidden="1"/>
    </xf>
    <xf numFmtId="173" fontId="9" fillId="11" borderId="21" xfId="1" applyNumberFormat="1" applyFont="1" applyFill="1" applyBorder="1" applyAlignment="1" applyProtection="1">
      <alignment vertical="center"/>
      <protection hidden="1"/>
    </xf>
    <xf numFmtId="168" fontId="9" fillId="11" borderId="20" xfId="1" applyNumberFormat="1" applyFont="1" applyFill="1" applyBorder="1" applyAlignment="1" applyProtection="1">
      <alignment horizontal="center" vertical="center"/>
      <protection hidden="1"/>
    </xf>
    <xf numFmtId="165" fontId="6" fillId="0" borderId="1" xfId="0" applyNumberFormat="1" applyFont="1" applyBorder="1" applyAlignment="1" applyProtection="1">
      <alignment horizontal="center" vertical="center"/>
      <protection hidden="1"/>
    </xf>
    <xf numFmtId="167" fontId="11" fillId="0" borderId="12" xfId="2" applyNumberFormat="1" applyFont="1" applyBorder="1" applyAlignment="1" applyProtection="1">
      <alignment vertical="center"/>
      <protection hidden="1"/>
    </xf>
    <xf numFmtId="166" fontId="104" fillId="5" borderId="72" xfId="1" applyFill="1" applyBorder="1" applyAlignment="1" applyProtection="1">
      <alignment vertical="center"/>
      <protection locked="0" hidden="1"/>
    </xf>
    <xf numFmtId="169" fontId="0" fillId="0" borderId="54" xfId="2" applyFont="1" applyBorder="1" applyAlignment="1" applyProtection="1">
      <alignment vertical="center"/>
      <protection hidden="1"/>
    </xf>
    <xf numFmtId="169" fontId="0" fillId="0" borderId="23" xfId="2" applyFont="1" applyBorder="1" applyAlignment="1" applyProtection="1">
      <alignment vertical="center"/>
      <protection hidden="1"/>
    </xf>
    <xf numFmtId="169" fontId="11" fillId="0" borderId="29" xfId="2" applyFont="1" applyBorder="1" applyAlignment="1" applyProtection="1">
      <alignment vertical="center"/>
      <protection hidden="1"/>
    </xf>
    <xf numFmtId="169" fontId="0" fillId="0" borderId="28" xfId="2" applyFont="1" applyBorder="1" applyAlignment="1" applyProtection="1">
      <alignment vertical="center"/>
      <protection hidden="1"/>
    </xf>
    <xf numFmtId="171" fontId="104" fillId="5" borderId="7" xfId="1" applyNumberFormat="1" applyFill="1" applyBorder="1" applyAlignment="1" applyProtection="1">
      <alignment vertical="center"/>
      <protection locked="0" hidden="1"/>
    </xf>
    <xf numFmtId="169" fontId="6" fillId="0" borderId="23" xfId="2" applyFont="1" applyBorder="1" applyAlignment="1" applyProtection="1">
      <alignment vertical="center"/>
      <protection hidden="1"/>
    </xf>
    <xf numFmtId="166" fontId="104" fillId="5" borderId="5" xfId="1" applyFill="1" applyBorder="1" applyAlignment="1" applyProtection="1">
      <alignment vertical="center"/>
      <protection locked="0" hidden="1"/>
    </xf>
    <xf numFmtId="166" fontId="12" fillId="0" borderId="0" xfId="1" applyFont="1"/>
    <xf numFmtId="174" fontId="12" fillId="0" borderId="0" xfId="1" applyNumberFormat="1" applyFont="1" applyAlignment="1">
      <alignment horizontal="center"/>
    </xf>
    <xf numFmtId="167" fontId="116" fillId="0" borderId="0" xfId="2" applyNumberFormat="1" applyFont="1"/>
    <xf numFmtId="166" fontId="12" fillId="5" borderId="0" xfId="1" applyFont="1" applyFill="1" applyProtection="1">
      <protection locked="0"/>
    </xf>
    <xf numFmtId="166" fontId="1" fillId="0" borderId="0" xfId="1" applyFont="1"/>
    <xf numFmtId="166" fontId="120" fillId="0" borderId="0" xfId="1" applyFont="1" applyAlignment="1">
      <alignment horizontal="right"/>
    </xf>
    <xf numFmtId="174" fontId="119" fillId="8" borderId="0" xfId="1" applyNumberFormat="1" applyFont="1" applyFill="1" applyAlignment="1">
      <alignment horizontal="center"/>
    </xf>
    <xf numFmtId="166" fontId="12" fillId="0" borderId="0" xfId="1" applyFont="1" applyAlignment="1">
      <alignment horizontal="center"/>
    </xf>
    <xf numFmtId="166" fontId="12" fillId="5" borderId="72" xfId="1" applyFont="1" applyFill="1" applyBorder="1" applyAlignment="1" applyProtection="1">
      <alignment horizontal="center"/>
      <protection locked="0"/>
    </xf>
    <xf numFmtId="166" fontId="117" fillId="0" borderId="0" xfId="1" applyFont="1"/>
    <xf numFmtId="174" fontId="12" fillId="5" borderId="0" xfId="1" applyNumberFormat="1" applyFont="1" applyFill="1" applyAlignment="1" applyProtection="1">
      <alignment horizontal="center"/>
      <protection locked="0"/>
    </xf>
    <xf numFmtId="166" fontId="6" fillId="0" borderId="0" xfId="1" applyFont="1"/>
    <xf numFmtId="166" fontId="11" fillId="0" borderId="0" xfId="1" applyFont="1"/>
    <xf numFmtId="166" fontId="12" fillId="0" borderId="9" xfId="1" applyFont="1" applyBorder="1"/>
    <xf numFmtId="166" fontId="12" fillId="0" borderId="0" xfId="1" applyFont="1" applyAlignment="1">
      <alignment horizontal="right"/>
    </xf>
    <xf numFmtId="166" fontId="17" fillId="0" borderId="0" xfId="1" applyFont="1"/>
    <xf numFmtId="166" fontId="11" fillId="0" borderId="9" xfId="1" applyFont="1" applyBorder="1" applyAlignment="1">
      <alignment horizontal="right"/>
    </xf>
    <xf numFmtId="166" fontId="11" fillId="0" borderId="9" xfId="1" applyFont="1" applyBorder="1"/>
    <xf numFmtId="166" fontId="118" fillId="0" borderId="0" xfId="1" applyFont="1"/>
    <xf numFmtId="166" fontId="12" fillId="0" borderId="70" xfId="1" applyFont="1" applyBorder="1"/>
    <xf numFmtId="166" fontId="12" fillId="0" borderId="53" xfId="1" applyFont="1" applyBorder="1"/>
    <xf numFmtId="166" fontId="12" fillId="0" borderId="52" xfId="1" applyFont="1" applyBorder="1"/>
    <xf numFmtId="166" fontId="12" fillId="0" borderId="50" xfId="1" applyFont="1" applyBorder="1"/>
    <xf numFmtId="166" fontId="8" fillId="0" borderId="0" xfId="1" applyFont="1" applyAlignment="1">
      <alignment horizontal="right"/>
    </xf>
    <xf numFmtId="174" fontId="13" fillId="0" borderId="0" xfId="1" applyNumberFormat="1" applyFont="1" applyAlignment="1">
      <alignment horizontal="center"/>
    </xf>
    <xf numFmtId="166" fontId="13" fillId="0" borderId="0" xfId="1" applyFont="1"/>
    <xf numFmtId="166" fontId="12" fillId="0" borderId="71" xfId="1" applyFont="1" applyBorder="1"/>
    <xf numFmtId="174" fontId="8" fillId="0" borderId="0" xfId="1" applyNumberFormat="1" applyFont="1" applyAlignment="1">
      <alignment horizontal="center"/>
    </xf>
    <xf numFmtId="166" fontId="8" fillId="0" borderId="0" xfId="1" applyFont="1"/>
    <xf numFmtId="166" fontId="102" fillId="0" borderId="0" xfId="1" applyFont="1" applyAlignment="1">
      <alignment horizontal="right"/>
    </xf>
    <xf numFmtId="166" fontId="12" fillId="0" borderId="18" xfId="1" applyFont="1" applyBorder="1"/>
    <xf numFmtId="166" fontId="12" fillId="0" borderId="59" xfId="1" applyFont="1" applyBorder="1"/>
    <xf numFmtId="166" fontId="12" fillId="0" borderId="58" xfId="1" applyFont="1" applyBorder="1"/>
    <xf numFmtId="166" fontId="101" fillId="0" borderId="0" xfId="1" applyFont="1"/>
    <xf numFmtId="175" fontId="144" fillId="0" borderId="0" xfId="0" applyNumberFormat="1" applyFont="1"/>
    <xf numFmtId="171" fontId="148" fillId="10" borderId="0" xfId="1" applyNumberFormat="1" applyFont="1" applyFill="1" applyAlignment="1" applyProtection="1">
      <alignment horizontal="center"/>
      <protection locked="0"/>
    </xf>
    <xf numFmtId="175" fontId="149" fillId="0" borderId="0" xfId="1" applyNumberFormat="1" applyFont="1" applyAlignment="1">
      <alignment horizontal="right"/>
    </xf>
    <xf numFmtId="166" fontId="150" fillId="0" borderId="0" xfId="0" applyNumberFormat="1" applyFont="1"/>
    <xf numFmtId="166" fontId="144" fillId="0" borderId="5" xfId="1" applyFont="1" applyBorder="1"/>
    <xf numFmtId="166" fontId="144" fillId="0" borderId="9" xfId="1" applyFont="1" applyBorder="1"/>
    <xf numFmtId="166" fontId="144" fillId="0" borderId="6" xfId="1" applyFont="1" applyBorder="1"/>
    <xf numFmtId="166" fontId="151" fillId="0" borderId="0" xfId="1" applyFont="1"/>
    <xf numFmtId="175" fontId="149" fillId="0" borderId="0" xfId="1" applyNumberFormat="1" applyFont="1"/>
    <xf numFmtId="166" fontId="154" fillId="0" borderId="0" xfId="1" applyFont="1"/>
    <xf numFmtId="171" fontId="148" fillId="0" borderId="0" xfId="1" applyNumberFormat="1" applyFont="1"/>
    <xf numFmtId="176" fontId="154" fillId="0" borderId="0" xfId="1" applyNumberFormat="1" applyFont="1" applyAlignment="1">
      <alignment horizontal="right"/>
    </xf>
    <xf numFmtId="175" fontId="154" fillId="0" borderId="0" xfId="1" applyNumberFormat="1" applyFont="1"/>
    <xf numFmtId="175" fontId="154" fillId="10" borderId="0" xfId="1" applyNumberFormat="1" applyFont="1" applyFill="1" applyProtection="1">
      <protection locked="0"/>
    </xf>
    <xf numFmtId="175" fontId="158" fillId="0" borderId="0" xfId="1" applyNumberFormat="1" applyFont="1"/>
    <xf numFmtId="176" fontId="153" fillId="0" borderId="0" xfId="1" applyNumberFormat="1" applyFont="1" applyAlignment="1">
      <alignment horizontal="right"/>
    </xf>
    <xf numFmtId="175" fontId="153" fillId="0" borderId="0" xfId="1" applyNumberFormat="1" applyFont="1"/>
    <xf numFmtId="177" fontId="161" fillId="0" borderId="0" xfId="1" applyNumberFormat="1" applyFont="1" applyAlignment="1">
      <alignment horizontal="center"/>
    </xf>
    <xf numFmtId="171" fontId="144" fillId="0" borderId="0" xfId="1" applyNumberFormat="1" applyFont="1"/>
    <xf numFmtId="171" fontId="163" fillId="10" borderId="0" xfId="1" applyNumberFormat="1" applyFont="1" applyFill="1" applyProtection="1">
      <protection locked="0"/>
    </xf>
    <xf numFmtId="171" fontId="163" fillId="0" borderId="0" xfId="1" applyNumberFormat="1" applyFont="1"/>
    <xf numFmtId="171" fontId="163" fillId="0" borderId="0" xfId="1" applyNumberFormat="1" applyFont="1" applyAlignment="1">
      <alignment horizontal="right"/>
    </xf>
    <xf numFmtId="175" fontId="165" fillId="0" borderId="0" xfId="1" applyNumberFormat="1" applyFont="1"/>
    <xf numFmtId="175" fontId="166" fillId="0" borderId="0" xfId="0" applyNumberFormat="1" applyFont="1" applyAlignment="1">
      <alignment horizontal="right"/>
    </xf>
    <xf numFmtId="166" fontId="166" fillId="0" borderId="0" xfId="1" applyFont="1" applyAlignment="1">
      <alignment horizontal="right"/>
    </xf>
    <xf numFmtId="175" fontId="144" fillId="0" borderId="9" xfId="0" applyNumberFormat="1" applyFont="1" applyBorder="1"/>
    <xf numFmtId="172" fontId="88" fillId="0" borderId="0" xfId="3" applyNumberFormat="1" applyFont="1" applyAlignment="1" applyProtection="1">
      <alignment horizontal="center" vertical="center"/>
      <protection hidden="1"/>
    </xf>
    <xf numFmtId="172" fontId="40" fillId="0" borderId="0" xfId="0" applyNumberFormat="1" applyFont="1" applyAlignment="1" applyProtection="1">
      <alignment horizontal="center" vertical="center"/>
      <protection hidden="1"/>
    </xf>
    <xf numFmtId="171" fontId="185" fillId="0" borderId="0" xfId="0" applyNumberFormat="1" applyFont="1" applyAlignment="1" applyProtection="1">
      <alignment horizontal="center" vertical="center"/>
      <protection hidden="1"/>
    </xf>
    <xf numFmtId="173" fontId="106" fillId="0" borderId="51" xfId="0" applyNumberFormat="1" applyFont="1" applyBorder="1" applyAlignment="1" applyProtection="1">
      <alignment vertical="center"/>
      <protection hidden="1"/>
    </xf>
    <xf numFmtId="164" fontId="106" fillId="0" borderId="115" xfId="0" applyNumberFormat="1" applyFont="1" applyBorder="1" applyAlignment="1" applyProtection="1">
      <alignment vertical="center"/>
      <protection hidden="1"/>
    </xf>
    <xf numFmtId="173" fontId="106" fillId="0" borderId="0" xfId="0" applyNumberFormat="1" applyFont="1" applyAlignment="1" applyProtection="1">
      <alignment vertical="center"/>
      <protection hidden="1"/>
    </xf>
    <xf numFmtId="166" fontId="43" fillId="0" borderId="0" xfId="1" applyFont="1" applyAlignment="1" applyProtection="1">
      <alignment vertical="center"/>
      <protection hidden="1"/>
    </xf>
    <xf numFmtId="171" fontId="0" fillId="0" borderId="0" xfId="1" applyNumberFormat="1" applyFont="1"/>
    <xf numFmtId="173" fontId="43" fillId="0" borderId="51" xfId="0" applyNumberFormat="1" applyFont="1" applyBorder="1" applyAlignment="1" applyProtection="1">
      <alignment vertical="center"/>
      <protection hidden="1"/>
    </xf>
    <xf numFmtId="164" fontId="43" fillId="0" borderId="115" xfId="0" applyNumberFormat="1" applyFont="1" applyBorder="1" applyAlignment="1" applyProtection="1">
      <alignment vertical="center"/>
      <protection hidden="1"/>
    </xf>
    <xf numFmtId="173" fontId="43" fillId="0" borderId="0" xfId="0" applyNumberFormat="1" applyFont="1" applyAlignment="1" applyProtection="1">
      <alignment vertical="center"/>
      <protection hidden="1"/>
    </xf>
    <xf numFmtId="173" fontId="40" fillId="0" borderId="0" xfId="0" applyNumberFormat="1" applyFont="1" applyAlignment="1" applyProtection="1">
      <alignment vertical="center"/>
      <protection hidden="1"/>
    </xf>
    <xf numFmtId="173" fontId="43" fillId="0" borderId="5" xfId="0" applyNumberFormat="1" applyFont="1" applyBorder="1" applyAlignment="1" applyProtection="1">
      <alignment vertical="center"/>
      <protection hidden="1"/>
    </xf>
    <xf numFmtId="164" fontId="43" fillId="0" borderId="61" xfId="0" applyNumberFormat="1" applyFont="1" applyBorder="1" applyAlignment="1" applyProtection="1">
      <alignment vertical="center"/>
      <protection hidden="1"/>
    </xf>
    <xf numFmtId="173" fontId="43" fillId="0" borderId="9" xfId="0" applyNumberFormat="1" applyFont="1" applyBorder="1" applyAlignment="1" applyProtection="1">
      <alignment vertical="center"/>
      <protection hidden="1"/>
    </xf>
    <xf numFmtId="171" fontId="43" fillId="0" borderId="0" xfId="0" applyNumberFormat="1" applyFont="1" applyAlignment="1" applyProtection="1">
      <alignment vertical="center"/>
      <protection hidden="1"/>
    </xf>
    <xf numFmtId="173" fontId="41" fillId="0" borderId="1" xfId="0" applyNumberFormat="1" applyFont="1" applyBorder="1" applyAlignment="1" applyProtection="1">
      <alignment vertical="center"/>
      <protection hidden="1"/>
    </xf>
    <xf numFmtId="167" fontId="41" fillId="0" borderId="2" xfId="2" applyNumberFormat="1" applyFont="1" applyBorder="1" applyAlignment="1" applyProtection="1">
      <alignment vertical="center"/>
      <protection hidden="1"/>
    </xf>
    <xf numFmtId="167" fontId="105" fillId="0" borderId="5" xfId="2" applyNumberFormat="1" applyFont="1" applyBorder="1" applyAlignment="1" applyProtection="1">
      <alignment horizontal="right" vertical="center"/>
      <protection hidden="1"/>
    </xf>
    <xf numFmtId="178" fontId="105" fillId="0" borderId="9" xfId="1" applyNumberFormat="1" applyFont="1" applyBorder="1" applyAlignment="1" applyProtection="1">
      <alignment horizontal="left" vertical="center"/>
      <protection hidden="1"/>
    </xf>
    <xf numFmtId="167" fontId="105" fillId="0" borderId="9" xfId="2" applyNumberFormat="1" applyFont="1" applyBorder="1" applyAlignment="1" applyProtection="1">
      <alignment horizontal="right" vertical="center"/>
      <protection hidden="1"/>
    </xf>
    <xf numFmtId="171" fontId="43" fillId="0" borderId="51" xfId="1" applyNumberFormat="1" applyFont="1" applyBorder="1" applyAlignment="1" applyProtection="1">
      <alignment horizontal="right" vertical="center"/>
      <protection hidden="1"/>
    </xf>
    <xf numFmtId="167" fontId="43" fillId="0" borderId="86" xfId="2" applyNumberFormat="1" applyFont="1" applyBorder="1" applyAlignment="1" applyProtection="1">
      <alignment vertical="center"/>
      <protection hidden="1"/>
    </xf>
    <xf numFmtId="167" fontId="43" fillId="0" borderId="0" xfId="2" applyNumberFormat="1" applyFont="1" applyAlignment="1" applyProtection="1">
      <alignment vertical="center"/>
      <protection hidden="1"/>
    </xf>
    <xf numFmtId="166" fontId="2" fillId="0" borderId="0" xfId="1" applyFont="1"/>
    <xf numFmtId="171" fontId="43" fillId="0" borderId="121" xfId="1" applyNumberFormat="1" applyFont="1" applyBorder="1" applyAlignment="1" applyProtection="1">
      <alignment horizontal="right" vertical="center"/>
      <protection hidden="1"/>
    </xf>
    <xf numFmtId="173" fontId="43" fillId="0" borderId="121" xfId="0" applyNumberFormat="1" applyFont="1" applyBorder="1" applyAlignment="1" applyProtection="1">
      <alignment vertical="center"/>
      <protection hidden="1"/>
    </xf>
    <xf numFmtId="167" fontId="43" fillId="0" borderId="122" xfId="2" applyNumberFormat="1" applyFont="1" applyBorder="1" applyAlignment="1" applyProtection="1">
      <alignment vertical="center"/>
      <protection hidden="1"/>
    </xf>
    <xf numFmtId="167" fontId="43" fillId="0" borderId="88" xfId="2" applyNumberFormat="1" applyFont="1" applyBorder="1" applyAlignment="1" applyProtection="1">
      <alignment vertical="center"/>
      <protection hidden="1"/>
    </xf>
    <xf numFmtId="171" fontId="43" fillId="0" borderId="5" xfId="1" applyNumberFormat="1" applyFont="1" applyBorder="1" applyAlignment="1" applyProtection="1">
      <alignment horizontal="right" vertical="center"/>
      <protection hidden="1"/>
    </xf>
    <xf numFmtId="167" fontId="43" fillId="0" borderId="6" xfId="2" applyNumberFormat="1" applyFont="1" applyBorder="1" applyAlignment="1" applyProtection="1">
      <alignment vertical="center"/>
      <protection hidden="1"/>
    </xf>
    <xf numFmtId="167" fontId="43" fillId="0" borderId="9" xfId="2" applyNumberFormat="1" applyFont="1" applyBorder="1" applyAlignment="1" applyProtection="1">
      <alignment vertical="center"/>
      <protection hidden="1"/>
    </xf>
    <xf numFmtId="173" fontId="106" fillId="0" borderId="126" xfId="0" applyNumberFormat="1" applyFont="1" applyBorder="1" applyAlignment="1" applyProtection="1">
      <alignment vertical="center"/>
      <protection hidden="1"/>
    </xf>
    <xf numFmtId="167" fontId="106" fillId="0" borderId="127" xfId="2" applyNumberFormat="1" applyFont="1" applyBorder="1" applyAlignment="1" applyProtection="1">
      <alignment vertical="center"/>
      <protection hidden="1"/>
    </xf>
    <xf numFmtId="167" fontId="106" fillId="0" borderId="52" xfId="2" applyNumberFormat="1" applyFont="1" applyBorder="1" applyAlignment="1" applyProtection="1">
      <alignment vertical="center"/>
      <protection hidden="1"/>
    </xf>
    <xf numFmtId="179" fontId="40" fillId="0" borderId="0" xfId="0" applyNumberFormat="1" applyFont="1" applyAlignment="1" applyProtection="1">
      <alignment vertical="center"/>
      <protection hidden="1"/>
    </xf>
    <xf numFmtId="171" fontId="205" fillId="0" borderId="51" xfId="1" applyNumberFormat="1" applyFont="1" applyBorder="1" applyAlignment="1" applyProtection="1">
      <alignment horizontal="right" vertical="center"/>
      <protection hidden="1"/>
    </xf>
    <xf numFmtId="171" fontId="205" fillId="0" borderId="86" xfId="1" applyNumberFormat="1" applyFont="1" applyBorder="1" applyAlignment="1" applyProtection="1">
      <alignment horizontal="right" vertical="center"/>
      <protection hidden="1"/>
    </xf>
    <xf numFmtId="171" fontId="205" fillId="0" borderId="0" xfId="1" applyNumberFormat="1" applyFont="1" applyAlignment="1" applyProtection="1">
      <alignment horizontal="right" vertical="center"/>
      <protection hidden="1"/>
    </xf>
    <xf numFmtId="171" fontId="205" fillId="0" borderId="71" xfId="1" applyNumberFormat="1" applyFont="1" applyBorder="1" applyAlignment="1" applyProtection="1">
      <alignment horizontal="right" vertical="center"/>
      <protection hidden="1"/>
    </xf>
    <xf numFmtId="171" fontId="228" fillId="0" borderId="18" xfId="1" applyNumberFormat="1" applyFont="1" applyBorder="1" applyAlignment="1" applyProtection="1">
      <alignment horizontal="right" vertical="center"/>
      <protection hidden="1"/>
    </xf>
    <xf numFmtId="171" fontId="228" fillId="0" borderId="19" xfId="1" applyNumberFormat="1" applyFont="1" applyBorder="1" applyAlignment="1" applyProtection="1">
      <alignment horizontal="right" vertical="center"/>
      <protection hidden="1"/>
    </xf>
    <xf numFmtId="171" fontId="228" fillId="0" borderId="128" xfId="1" applyNumberFormat="1" applyFont="1" applyBorder="1" applyAlignment="1" applyProtection="1">
      <alignment horizontal="right" vertical="center"/>
      <protection hidden="1"/>
    </xf>
    <xf numFmtId="171" fontId="228" fillId="0" borderId="58" xfId="1" applyNumberFormat="1" applyFont="1" applyBorder="1" applyAlignment="1" applyProtection="1">
      <alignment horizontal="right" vertical="center"/>
      <protection hidden="1"/>
    </xf>
    <xf numFmtId="166" fontId="231" fillId="28" borderId="22" xfId="1" applyFont="1" applyFill="1" applyBorder="1" applyAlignment="1" applyProtection="1">
      <alignment horizontal="center" vertical="center"/>
      <protection hidden="1"/>
    </xf>
    <xf numFmtId="177" fontId="194" fillId="25" borderId="22" xfId="1" applyNumberFormat="1" applyFont="1" applyFill="1" applyBorder="1" applyAlignment="1" applyProtection="1">
      <alignment horizontal="center" vertical="center"/>
      <protection hidden="1"/>
    </xf>
    <xf numFmtId="177" fontId="194" fillId="25" borderId="20" xfId="1" applyNumberFormat="1" applyFont="1" applyFill="1" applyBorder="1" applyAlignment="1" applyProtection="1">
      <alignment horizontal="left" vertical="center"/>
      <protection hidden="1"/>
    </xf>
    <xf numFmtId="166" fontId="44" fillId="0" borderId="0" xfId="1" applyFont="1" applyAlignment="1" applyProtection="1">
      <alignment horizontal="center" vertical="center"/>
      <protection hidden="1"/>
    </xf>
    <xf numFmtId="180" fontId="202" fillId="0" borderId="0" xfId="2" applyNumberFormat="1" applyFont="1" applyAlignment="1" applyProtection="1">
      <alignment vertical="center"/>
      <protection hidden="1"/>
    </xf>
    <xf numFmtId="166" fontId="191" fillId="0" borderId="0" xfId="1" applyFont="1" applyAlignment="1" applyProtection="1">
      <alignment vertical="center"/>
      <protection hidden="1"/>
    </xf>
    <xf numFmtId="180" fontId="204" fillId="0" borderId="0" xfId="2" applyNumberFormat="1" applyFont="1" applyAlignment="1" applyProtection="1">
      <alignment horizontal="right" vertical="center"/>
      <protection hidden="1"/>
    </xf>
    <xf numFmtId="181" fontId="202" fillId="0" borderId="0" xfId="2" applyNumberFormat="1" applyFont="1" applyAlignment="1" applyProtection="1">
      <alignment vertical="center"/>
      <protection hidden="1"/>
    </xf>
    <xf numFmtId="167" fontId="202" fillId="0" borderId="0" xfId="2" applyNumberFormat="1" applyFont="1" applyAlignment="1" applyProtection="1">
      <alignment vertical="center"/>
      <protection hidden="1"/>
    </xf>
    <xf numFmtId="181" fontId="232" fillId="0" borderId="0" xfId="2" applyNumberFormat="1" applyFont="1" applyAlignment="1" applyProtection="1">
      <alignment vertical="center"/>
      <protection hidden="1"/>
    </xf>
    <xf numFmtId="167" fontId="232" fillId="0" borderId="0" xfId="2" applyNumberFormat="1" applyFont="1" applyAlignment="1" applyProtection="1">
      <alignment vertical="center"/>
      <protection hidden="1"/>
    </xf>
    <xf numFmtId="181" fontId="202" fillId="0" borderId="88" xfId="2" applyNumberFormat="1" applyFont="1" applyBorder="1" applyAlignment="1" applyProtection="1">
      <alignment vertical="center"/>
      <protection hidden="1"/>
    </xf>
    <xf numFmtId="167" fontId="202" fillId="0" borderId="88" xfId="2" applyNumberFormat="1" applyFont="1" applyBorder="1" applyAlignment="1" applyProtection="1">
      <alignment vertical="center"/>
      <protection hidden="1"/>
    </xf>
    <xf numFmtId="180" fontId="204" fillId="0" borderId="88" xfId="2" applyNumberFormat="1" applyFont="1" applyBorder="1" applyAlignment="1" applyProtection="1">
      <alignment horizontal="right" vertical="center"/>
      <protection hidden="1"/>
    </xf>
    <xf numFmtId="171" fontId="53" fillId="0" borderId="21" xfId="1" applyNumberFormat="1" applyFont="1" applyBorder="1" applyAlignment="1" applyProtection="1">
      <alignment vertical="center"/>
      <protection hidden="1"/>
    </xf>
    <xf numFmtId="171" fontId="53" fillId="0" borderId="124" xfId="1" applyNumberFormat="1" applyFont="1" applyBorder="1" applyAlignment="1" applyProtection="1">
      <alignment vertical="center"/>
      <protection hidden="1"/>
    </xf>
    <xf numFmtId="171" fontId="53" fillId="0" borderId="22" xfId="1" applyNumberFormat="1" applyFont="1" applyBorder="1" applyAlignment="1" applyProtection="1">
      <alignment vertical="center"/>
      <protection hidden="1"/>
    </xf>
    <xf numFmtId="171" fontId="53" fillId="0" borderId="20" xfId="1" applyNumberFormat="1" applyFont="1" applyBorder="1" applyAlignment="1" applyProtection="1">
      <alignment vertical="center"/>
      <protection hidden="1"/>
    </xf>
    <xf numFmtId="172" fontId="229" fillId="0" borderId="50" xfId="3" applyNumberFormat="1" applyFont="1" applyBorder="1" applyAlignment="1" applyProtection="1">
      <alignment horizontal="center" vertical="center"/>
      <protection hidden="1"/>
    </xf>
    <xf numFmtId="182" fontId="200" fillId="0" borderId="0" xfId="3" applyNumberFormat="1" applyFont="1" applyAlignment="1" applyProtection="1">
      <alignment horizontal="center" vertical="center"/>
      <protection hidden="1"/>
    </xf>
    <xf numFmtId="171" fontId="43" fillId="0" borderId="0" xfId="1" applyNumberFormat="1" applyFont="1" applyAlignment="1" applyProtection="1">
      <alignment vertical="center"/>
      <protection hidden="1"/>
    </xf>
    <xf numFmtId="171" fontId="43" fillId="0" borderId="115" xfId="1" applyNumberFormat="1" applyFont="1" applyBorder="1" applyAlignment="1" applyProtection="1">
      <alignment vertical="center"/>
      <protection hidden="1"/>
    </xf>
    <xf numFmtId="171" fontId="43" fillId="0" borderId="117" xfId="1" applyNumberFormat="1" applyFont="1" applyBorder="1" applyAlignment="1" applyProtection="1">
      <alignment vertical="center"/>
      <protection hidden="1"/>
    </xf>
    <xf numFmtId="171" fontId="43" fillId="0" borderId="50" xfId="1" applyNumberFormat="1" applyFont="1" applyBorder="1" applyAlignment="1" applyProtection="1">
      <alignment vertical="center"/>
      <protection hidden="1"/>
    </xf>
    <xf numFmtId="171" fontId="43" fillId="0" borderId="71" xfId="1" applyNumberFormat="1" applyFont="1" applyBorder="1" applyAlignment="1" applyProtection="1">
      <alignment vertical="center"/>
      <protection hidden="1"/>
    </xf>
    <xf numFmtId="172" fontId="196" fillId="0" borderId="50" xfId="3" applyNumberFormat="1" applyFont="1" applyBorder="1" applyAlignment="1" applyProtection="1">
      <alignment horizontal="center" vertical="center"/>
      <protection hidden="1"/>
    </xf>
    <xf numFmtId="182" fontId="196" fillId="0" borderId="0" xfId="3" applyNumberFormat="1" applyFont="1" applyAlignment="1" applyProtection="1">
      <alignment horizontal="center" vertical="center"/>
      <protection hidden="1"/>
    </xf>
    <xf numFmtId="171" fontId="53" fillId="0" borderId="1" xfId="1" applyNumberFormat="1" applyFont="1" applyBorder="1" applyAlignment="1" applyProtection="1">
      <alignment vertical="center"/>
      <protection hidden="1"/>
    </xf>
    <xf numFmtId="171" fontId="53" fillId="0" borderId="62" xfId="1" applyNumberFormat="1" applyFont="1" applyBorder="1" applyAlignment="1" applyProtection="1">
      <alignment vertical="center"/>
      <protection hidden="1"/>
    </xf>
    <xf numFmtId="171" fontId="53" fillId="0" borderId="26" xfId="1" applyNumberFormat="1" applyFont="1" applyBorder="1" applyAlignment="1" applyProtection="1">
      <alignment vertical="center"/>
      <protection hidden="1"/>
    </xf>
    <xf numFmtId="171" fontId="53" fillId="0" borderId="0" xfId="1" applyNumberFormat="1" applyFont="1" applyAlignment="1" applyProtection="1">
      <alignment vertical="center"/>
      <protection hidden="1"/>
    </xf>
    <xf numFmtId="171" fontId="43" fillId="0" borderId="59" xfId="1" applyNumberFormat="1" applyFont="1" applyBorder="1" applyAlignment="1" applyProtection="1">
      <alignment vertical="center"/>
      <protection hidden="1"/>
    </xf>
    <xf numFmtId="171" fontId="43" fillId="0" borderId="119" xfId="1" applyNumberFormat="1" applyFont="1" applyBorder="1" applyAlignment="1" applyProtection="1">
      <alignment vertical="center"/>
      <protection hidden="1"/>
    </xf>
    <xf numFmtId="171" fontId="43" fillId="0" borderId="60" xfId="1" applyNumberFormat="1" applyFont="1" applyBorder="1" applyAlignment="1" applyProtection="1">
      <alignment vertical="center"/>
      <protection hidden="1"/>
    </xf>
    <xf numFmtId="171" fontId="43" fillId="0" borderId="18" xfId="1" applyNumberFormat="1" applyFont="1" applyBorder="1" applyAlignment="1" applyProtection="1">
      <alignment vertical="center"/>
      <protection hidden="1"/>
    </xf>
    <xf numFmtId="171" fontId="43" fillId="0" borderId="58" xfId="1" applyNumberFormat="1" applyFont="1" applyBorder="1" applyAlignment="1" applyProtection="1">
      <alignment vertical="center"/>
      <protection hidden="1"/>
    </xf>
    <xf numFmtId="171" fontId="193" fillId="0" borderId="0" xfId="1" applyNumberFormat="1" applyFont="1" applyAlignment="1" applyProtection="1">
      <alignment vertical="center"/>
      <protection hidden="1"/>
    </xf>
    <xf numFmtId="171" fontId="191" fillId="0" borderId="0" xfId="1" applyNumberFormat="1" applyFont="1" applyAlignment="1" applyProtection="1">
      <alignment vertical="center"/>
      <protection hidden="1"/>
    </xf>
    <xf numFmtId="182" fontId="201" fillId="0" borderId="0" xfId="3" applyNumberFormat="1" applyFont="1" applyAlignment="1" applyProtection="1">
      <alignment horizontal="center" vertical="center"/>
      <protection hidden="1"/>
    </xf>
    <xf numFmtId="180" fontId="222" fillId="0" borderId="7" xfId="2" applyNumberFormat="1" applyFont="1" applyBorder="1" applyAlignment="1" applyProtection="1">
      <alignment horizontal="right" vertical="center"/>
      <protection hidden="1"/>
    </xf>
    <xf numFmtId="181" fontId="223" fillId="0" borderId="1" xfId="2" applyNumberFormat="1" applyFont="1" applyBorder="1" applyAlignment="1" applyProtection="1">
      <alignment vertical="center"/>
      <protection hidden="1"/>
    </xf>
    <xf numFmtId="167" fontId="223" fillId="0" borderId="1" xfId="2" applyNumberFormat="1" applyFont="1" applyBorder="1" applyAlignment="1" applyProtection="1">
      <alignment vertical="center"/>
      <protection hidden="1"/>
    </xf>
    <xf numFmtId="167" fontId="223" fillId="0" borderId="2" xfId="2" applyNumberFormat="1" applyFont="1" applyBorder="1" applyAlignment="1" applyProtection="1">
      <alignment vertical="center"/>
      <protection hidden="1"/>
    </xf>
    <xf numFmtId="180" fontId="226" fillId="0" borderId="22" xfId="2" applyNumberFormat="1" applyFont="1" applyBorder="1" applyAlignment="1" applyProtection="1">
      <alignment horizontal="right" vertical="center"/>
      <protection hidden="1"/>
    </xf>
    <xf numFmtId="181" fontId="224" fillId="0" borderId="21" xfId="2" applyNumberFormat="1" applyFont="1" applyBorder="1" applyAlignment="1" applyProtection="1">
      <alignment vertical="center"/>
      <protection hidden="1"/>
    </xf>
    <xf numFmtId="167" fontId="224" fillId="0" borderId="21" xfId="2" applyNumberFormat="1" applyFont="1" applyBorder="1" applyAlignment="1" applyProtection="1">
      <alignment vertical="center"/>
      <protection hidden="1"/>
    </xf>
    <xf numFmtId="167" fontId="224" fillId="0" borderId="20" xfId="2" applyNumberFormat="1" applyFont="1" applyBorder="1" applyAlignment="1" applyProtection="1">
      <alignment vertical="center"/>
      <protection hidden="1"/>
    </xf>
    <xf numFmtId="166" fontId="13" fillId="0" borderId="78" xfId="1" applyFont="1" applyBorder="1"/>
    <xf numFmtId="166" fontId="13" fillId="0" borderId="79" xfId="1" applyFont="1" applyBorder="1"/>
    <xf numFmtId="166" fontId="13" fillId="0" borderId="81" xfId="1" applyFont="1" applyBorder="1"/>
    <xf numFmtId="168" fontId="0" fillId="0" borderId="24" xfId="1" applyNumberFormat="1" applyFont="1" applyBorder="1" applyAlignment="1" applyProtection="1">
      <alignment horizontal="center" vertical="center"/>
      <protection hidden="1"/>
    </xf>
    <xf numFmtId="167" fontId="0" fillId="0" borderId="113" xfId="2" applyNumberFormat="1" applyFont="1" applyBorder="1" applyAlignment="1" applyProtection="1">
      <alignment vertical="center"/>
      <protection hidden="1"/>
    </xf>
    <xf numFmtId="168" fontId="0" fillId="0" borderId="129" xfId="1" applyNumberFormat="1" applyFont="1" applyBorder="1" applyAlignment="1" applyProtection="1">
      <alignment horizontal="center" vertical="center"/>
      <protection hidden="1"/>
    </xf>
    <xf numFmtId="166" fontId="0" fillId="0" borderId="76" xfId="1" applyFont="1" applyBorder="1" applyProtection="1">
      <protection hidden="1"/>
    </xf>
    <xf numFmtId="166" fontId="123" fillId="0" borderId="0" xfId="0" applyNumberFormat="1" applyFont="1" applyAlignment="1" applyProtection="1">
      <alignment horizontal="center" vertical="center"/>
      <protection hidden="1"/>
    </xf>
    <xf numFmtId="166" fontId="124" fillId="0" borderId="0" xfId="0" applyNumberFormat="1" applyFont="1" applyAlignment="1" applyProtection="1">
      <alignment vertical="center"/>
      <protection hidden="1"/>
    </xf>
    <xf numFmtId="171" fontId="40" fillId="0" borderId="0" xfId="0" applyNumberFormat="1" applyFont="1" applyAlignment="1" applyProtection="1">
      <alignment vertical="center"/>
      <protection hidden="1"/>
    </xf>
    <xf numFmtId="166" fontId="40" fillId="0" borderId="0" xfId="0" applyNumberFormat="1" applyFont="1" applyAlignment="1" applyProtection="1">
      <alignment vertical="center"/>
      <protection hidden="1"/>
    </xf>
    <xf numFmtId="166" fontId="214" fillId="0" borderId="0" xfId="1" applyFont="1" applyAlignment="1" applyProtection="1">
      <alignment vertical="center"/>
      <protection hidden="1"/>
    </xf>
    <xf numFmtId="166" fontId="214" fillId="0" borderId="0" xfId="1" applyFont="1" applyAlignment="1" applyProtection="1">
      <alignment horizontal="center" vertical="center"/>
      <protection hidden="1"/>
    </xf>
    <xf numFmtId="166" fontId="211" fillId="0" borderId="0" xfId="1" applyFont="1" applyAlignment="1" applyProtection="1">
      <alignment horizontal="center" vertical="center"/>
      <protection hidden="1"/>
    </xf>
    <xf numFmtId="169" fontId="40" fillId="0" borderId="51" xfId="2" applyFont="1" applyBorder="1" applyAlignment="1">
      <alignment vertical="center"/>
    </xf>
    <xf numFmtId="169" fontId="31" fillId="0" borderId="112" xfId="2" applyFont="1" applyBorder="1" applyAlignment="1">
      <alignment vertical="center"/>
    </xf>
    <xf numFmtId="169" fontId="31" fillId="0" borderId="71" xfId="2" applyFont="1" applyBorder="1" applyAlignment="1" applyProtection="1">
      <alignment vertical="center"/>
      <protection hidden="1"/>
    </xf>
    <xf numFmtId="169" fontId="40" fillId="0" borderId="86" xfId="2" applyFont="1" applyBorder="1" applyAlignment="1">
      <alignment vertical="center"/>
    </xf>
    <xf numFmtId="166" fontId="210" fillId="0" borderId="0" xfId="1" applyFont="1" applyAlignment="1" applyProtection="1">
      <alignment vertical="center"/>
      <protection locked="0"/>
    </xf>
    <xf numFmtId="171" fontId="211" fillId="0" borderId="0" xfId="1" applyNumberFormat="1" applyFont="1" applyAlignment="1" applyProtection="1">
      <alignment vertical="center"/>
      <protection locked="0"/>
    </xf>
    <xf numFmtId="169" fontId="42" fillId="0" borderId="5" xfId="2" applyFont="1" applyBorder="1" applyAlignment="1" applyProtection="1">
      <alignment vertical="center"/>
      <protection hidden="1"/>
    </xf>
    <xf numFmtId="169" fontId="42" fillId="0" borderId="28" xfId="2" applyFont="1" applyBorder="1" applyAlignment="1" applyProtection="1">
      <alignment vertical="center"/>
      <protection hidden="1"/>
    </xf>
    <xf numFmtId="169" fontId="42" fillId="0" borderId="10" xfId="2" applyFont="1" applyBorder="1" applyAlignment="1" applyProtection="1">
      <alignment vertical="center"/>
      <protection hidden="1"/>
    </xf>
    <xf numFmtId="169" fontId="42" fillId="0" borderId="6" xfId="2" applyFont="1" applyBorder="1" applyAlignment="1" applyProtection="1">
      <alignment vertical="center"/>
      <protection hidden="1"/>
    </xf>
    <xf numFmtId="166" fontId="53" fillId="22" borderId="0" xfId="1" applyFont="1" applyFill="1" applyAlignment="1" applyProtection="1">
      <alignment vertical="center"/>
      <protection locked="0"/>
    </xf>
    <xf numFmtId="166" fontId="53" fillId="0" borderId="0" xfId="1" applyFont="1" applyAlignment="1" applyProtection="1">
      <alignment vertical="center"/>
      <protection hidden="1"/>
    </xf>
    <xf numFmtId="171" fontId="213" fillId="0" borderId="0" xfId="1" applyNumberFormat="1" applyFont="1" applyAlignment="1" applyProtection="1">
      <alignment vertical="center"/>
      <protection hidden="1"/>
    </xf>
    <xf numFmtId="166" fontId="41" fillId="0" borderId="0" xfId="1" applyFont="1" applyAlignment="1" applyProtection="1">
      <alignment vertical="center"/>
      <protection hidden="1"/>
    </xf>
    <xf numFmtId="166" fontId="40" fillId="0" borderId="85" xfId="1" applyFont="1" applyBorder="1" applyAlignment="1" applyProtection="1">
      <alignment vertical="center"/>
      <protection hidden="1"/>
    </xf>
    <xf numFmtId="166" fontId="40" fillId="0" borderId="113" xfId="1" applyFont="1" applyBorder="1" applyAlignment="1" applyProtection="1">
      <alignment vertical="center"/>
      <protection hidden="1"/>
    </xf>
    <xf numFmtId="166" fontId="40" fillId="0" borderId="114" xfId="1" applyFont="1" applyBorder="1" applyAlignment="1" applyProtection="1">
      <alignment vertical="center"/>
      <protection hidden="1"/>
    </xf>
    <xf numFmtId="166" fontId="40" fillId="0" borderId="87" xfId="1" applyFont="1" applyBorder="1" applyAlignment="1" applyProtection="1">
      <alignment vertical="center"/>
      <protection hidden="1"/>
    </xf>
    <xf numFmtId="166" fontId="40" fillId="0" borderId="0" xfId="1" applyFont="1" applyAlignment="1" applyProtection="1">
      <alignment vertical="center"/>
      <protection hidden="1"/>
    </xf>
    <xf numFmtId="166" fontId="215" fillId="0" borderId="0" xfId="1" applyFont="1" applyAlignment="1" applyProtection="1">
      <alignment vertical="center"/>
      <protection hidden="1"/>
    </xf>
    <xf numFmtId="171" fontId="56" fillId="0" borderId="0" xfId="1" applyNumberFormat="1" applyFont="1" applyAlignment="1" applyProtection="1">
      <alignment vertical="center"/>
      <protection hidden="1"/>
    </xf>
    <xf numFmtId="171" fontId="56" fillId="0" borderId="112" xfId="1" applyNumberFormat="1" applyFont="1" applyBorder="1" applyAlignment="1" applyProtection="1">
      <alignment vertical="center"/>
      <protection hidden="1"/>
    </xf>
    <xf numFmtId="171" fontId="56" fillId="0" borderId="71" xfId="1" applyNumberFormat="1" applyFont="1" applyBorder="1" applyAlignment="1" applyProtection="1">
      <alignment vertical="center"/>
      <protection hidden="1"/>
    </xf>
    <xf numFmtId="171" fontId="56" fillId="0" borderId="86" xfId="1" applyNumberFormat="1" applyFont="1" applyBorder="1" applyAlignment="1" applyProtection="1">
      <alignment vertical="center"/>
      <protection hidden="1"/>
    </xf>
    <xf numFmtId="166" fontId="215" fillId="0" borderId="0" xfId="1" applyFont="1" applyAlignment="1" applyProtection="1">
      <alignment horizontal="center" vertical="center"/>
      <protection hidden="1"/>
    </xf>
    <xf numFmtId="166" fontId="218" fillId="0" borderId="0" xfId="1" applyFont="1" applyAlignment="1" applyProtection="1">
      <alignment horizontal="center" vertical="center"/>
      <protection hidden="1"/>
    </xf>
    <xf numFmtId="166" fontId="128" fillId="0" borderId="0" xfId="1" applyFont="1" applyAlignment="1" applyProtection="1">
      <alignment vertical="center"/>
      <protection hidden="1"/>
    </xf>
    <xf numFmtId="166" fontId="128" fillId="0" borderId="112" xfId="1" applyFont="1" applyBorder="1" applyAlignment="1" applyProtection="1">
      <alignment vertical="center"/>
      <protection hidden="1"/>
    </xf>
    <xf numFmtId="166" fontId="128" fillId="0" borderId="71" xfId="1" applyFont="1" applyBorder="1" applyAlignment="1" applyProtection="1">
      <alignment vertical="center"/>
      <protection hidden="1"/>
    </xf>
    <xf numFmtId="166" fontId="128" fillId="0" borderId="86" xfId="0" applyNumberFormat="1" applyFont="1" applyBorder="1" applyAlignment="1" applyProtection="1">
      <alignment vertical="center"/>
      <protection hidden="1"/>
    </xf>
    <xf numFmtId="171" fontId="217" fillId="0" borderId="0" xfId="1" applyNumberFormat="1" applyFont="1" applyAlignment="1" applyProtection="1">
      <alignment horizontal="right" vertical="center"/>
      <protection locked="0"/>
    </xf>
    <xf numFmtId="171" fontId="217" fillId="0" borderId="0" xfId="1" applyNumberFormat="1" applyFont="1" applyAlignment="1" applyProtection="1">
      <alignment vertical="center"/>
      <protection locked="0"/>
    </xf>
    <xf numFmtId="185" fontId="218" fillId="0" borderId="0" xfId="1" applyNumberFormat="1" applyFont="1" applyAlignment="1" applyProtection="1">
      <alignment vertical="center"/>
      <protection locked="0"/>
    </xf>
    <xf numFmtId="171" fontId="40" fillId="0" borderId="113" xfId="1" applyNumberFormat="1" applyFont="1" applyBorder="1" applyAlignment="1" applyProtection="1">
      <alignment vertical="center"/>
      <protection hidden="1"/>
    </xf>
    <xf numFmtId="171" fontId="40" fillId="0" borderId="114" xfId="1" applyNumberFormat="1" applyFont="1" applyBorder="1" applyAlignment="1" applyProtection="1">
      <alignment vertical="center"/>
      <protection hidden="1"/>
    </xf>
    <xf numFmtId="171" fontId="40" fillId="0" borderId="87" xfId="1" applyNumberFormat="1" applyFont="1" applyBorder="1" applyAlignment="1" applyProtection="1">
      <alignment vertical="center"/>
      <protection hidden="1"/>
    </xf>
    <xf numFmtId="171" fontId="45" fillId="0" borderId="0" xfId="1" applyNumberFormat="1" applyFont="1" applyAlignment="1" applyProtection="1">
      <alignment vertical="center"/>
      <protection hidden="1"/>
    </xf>
    <xf numFmtId="171" fontId="45" fillId="0" borderId="112" xfId="1" applyNumberFormat="1" applyFont="1" applyBorder="1" applyAlignment="1" applyProtection="1">
      <alignment vertical="center"/>
      <protection hidden="1"/>
    </xf>
    <xf numFmtId="171" fontId="45" fillId="0" borderId="71" xfId="1" applyNumberFormat="1" applyFont="1" applyBorder="1" applyAlignment="1" applyProtection="1">
      <alignment vertical="center"/>
      <protection hidden="1"/>
    </xf>
    <xf numFmtId="171" fontId="45" fillId="0" borderId="86" xfId="1" applyNumberFormat="1" applyFont="1" applyBorder="1" applyAlignment="1" applyProtection="1">
      <alignment vertical="center"/>
      <protection hidden="1"/>
    </xf>
    <xf numFmtId="166" fontId="63" fillId="22" borderId="0" xfId="1" applyFont="1" applyFill="1" applyAlignment="1" applyProtection="1">
      <alignment vertical="center"/>
      <protection locked="0"/>
    </xf>
    <xf numFmtId="166" fontId="128" fillId="0" borderId="112" xfId="0" applyNumberFormat="1" applyFont="1" applyBorder="1" applyAlignment="1" applyProtection="1">
      <alignment vertical="center"/>
      <protection hidden="1"/>
    </xf>
    <xf numFmtId="166" fontId="128" fillId="0" borderId="71" xfId="0" applyNumberFormat="1" applyFont="1" applyBorder="1" applyAlignment="1" applyProtection="1">
      <alignment vertical="center"/>
      <protection hidden="1"/>
    </xf>
    <xf numFmtId="171" fontId="47" fillId="12" borderId="107" xfId="1" applyNumberFormat="1" applyFont="1" applyFill="1" applyBorder="1" applyAlignment="1" applyProtection="1">
      <alignment vertical="center"/>
      <protection hidden="1"/>
    </xf>
    <xf numFmtId="171" fontId="47" fillId="12" borderId="110" xfId="1" applyNumberFormat="1" applyFont="1" applyFill="1" applyBorder="1" applyAlignment="1" applyProtection="1">
      <alignment vertical="center"/>
      <protection hidden="1"/>
    </xf>
    <xf numFmtId="171" fontId="47" fillId="12" borderId="20" xfId="1" applyNumberFormat="1" applyFont="1" applyFill="1" applyBorder="1" applyAlignment="1" applyProtection="1">
      <alignment vertical="center"/>
      <protection hidden="1"/>
    </xf>
    <xf numFmtId="171" fontId="113" fillId="22" borderId="0" xfId="1" applyNumberFormat="1" applyFont="1" applyFill="1" applyAlignment="1" applyProtection="1">
      <alignment vertical="center"/>
      <protection locked="0"/>
    </xf>
    <xf numFmtId="171" fontId="215" fillId="0" borderId="0" xfId="1" applyNumberFormat="1" applyFont="1" applyAlignment="1" applyProtection="1">
      <alignment horizontal="right" vertical="center"/>
      <protection locked="0"/>
    </xf>
    <xf numFmtId="171" fontId="215" fillId="0" borderId="0" xfId="1" applyNumberFormat="1" applyFont="1" applyAlignment="1" applyProtection="1">
      <alignment vertical="center"/>
      <protection hidden="1"/>
    </xf>
    <xf numFmtId="171" fontId="132" fillId="0" borderId="0" xfId="1" applyNumberFormat="1" applyFont="1" applyAlignment="1" applyProtection="1">
      <alignment horizontal="right" vertical="center"/>
      <protection hidden="1"/>
    </xf>
    <xf numFmtId="171" fontId="132" fillId="0" borderId="0" xfId="1" applyNumberFormat="1" applyFont="1" applyAlignment="1" applyProtection="1">
      <alignment vertical="center"/>
      <protection hidden="1"/>
    </xf>
    <xf numFmtId="171" fontId="133" fillId="0" borderId="0" xfId="1" applyNumberFormat="1" applyFont="1" applyAlignment="1" applyProtection="1">
      <alignment vertical="center"/>
      <protection hidden="1"/>
    </xf>
    <xf numFmtId="172" fontId="127" fillId="0" borderId="0" xfId="3" applyNumberFormat="1" applyFont="1" applyAlignment="1" applyProtection="1">
      <alignment horizontal="left" vertical="center"/>
      <protection hidden="1"/>
    </xf>
    <xf numFmtId="171" fontId="215" fillId="0" borderId="0" xfId="1" applyNumberFormat="1" applyFont="1" applyAlignment="1" applyProtection="1">
      <alignment vertical="center"/>
      <protection locked="0"/>
    </xf>
    <xf numFmtId="185" fontId="220" fillId="0" borderId="0" xfId="1" applyNumberFormat="1" applyFont="1" applyAlignment="1" applyProtection="1">
      <alignment vertical="center"/>
      <protection locked="0"/>
    </xf>
    <xf numFmtId="166" fontId="132" fillId="0" borderId="0" xfId="1" applyFont="1" applyAlignment="1" applyProtection="1">
      <alignment vertical="center"/>
      <protection hidden="1"/>
    </xf>
    <xf numFmtId="172" fontId="169" fillId="0" borderId="0" xfId="3" applyNumberFormat="1" applyFont="1" applyAlignment="1" applyProtection="1">
      <alignment horizontal="left" vertical="center"/>
      <protection hidden="1"/>
    </xf>
    <xf numFmtId="166" fontId="49" fillId="0" borderId="0" xfId="1" applyFont="1" applyAlignment="1" applyProtection="1">
      <alignment vertical="center"/>
      <protection hidden="1"/>
    </xf>
    <xf numFmtId="171" fontId="129" fillId="0" borderId="0" xfId="1" applyNumberFormat="1" applyFont="1" applyAlignment="1" applyProtection="1">
      <alignment horizontal="right" vertical="center"/>
      <protection hidden="1"/>
    </xf>
    <xf numFmtId="174" fontId="136" fillId="0" borderId="0" xfId="1" applyNumberFormat="1" applyFont="1" applyAlignment="1" applyProtection="1">
      <alignment horizontal="center" vertical="center"/>
      <protection hidden="1"/>
    </xf>
    <xf numFmtId="171" fontId="79" fillId="7" borderId="0" xfId="1" applyNumberFormat="1" applyFont="1" applyFill="1" applyAlignment="1" applyProtection="1">
      <alignment horizontal="right" vertical="center"/>
      <protection hidden="1"/>
    </xf>
    <xf numFmtId="174" fontId="81" fillId="7" borderId="0" xfId="1" applyNumberFormat="1" applyFont="1" applyFill="1" applyAlignment="1" applyProtection="1">
      <alignment horizontal="center" vertical="center"/>
      <protection hidden="1"/>
    </xf>
    <xf numFmtId="166" fontId="63" fillId="0" borderId="0" xfId="1" applyFont="1" applyAlignment="1" applyProtection="1">
      <alignment vertical="center"/>
      <protection hidden="1"/>
    </xf>
    <xf numFmtId="171" fontId="44" fillId="0" borderId="0" xfId="1" applyNumberFormat="1" applyFont="1" applyAlignment="1" applyProtection="1">
      <alignment horizontal="right" vertical="center"/>
      <protection hidden="1"/>
    </xf>
    <xf numFmtId="174" fontId="63" fillId="0" borderId="0" xfId="1" applyNumberFormat="1" applyFont="1" applyAlignment="1" applyProtection="1">
      <alignment horizontal="center" vertical="center"/>
      <protection hidden="1"/>
    </xf>
    <xf numFmtId="174" fontId="137" fillId="0" borderId="0" xfId="1" applyNumberFormat="1" applyFont="1" applyAlignment="1" applyProtection="1">
      <alignment horizontal="center" vertical="center"/>
      <protection hidden="1"/>
    </xf>
    <xf numFmtId="166" fontId="138" fillId="0" borderId="0" xfId="1" applyFont="1" applyAlignment="1" applyProtection="1">
      <alignment horizontal="center" vertical="top"/>
      <protection hidden="1"/>
    </xf>
    <xf numFmtId="166" fontId="82" fillId="0" borderId="0" xfId="1" applyFont="1" applyAlignment="1" applyProtection="1">
      <alignment horizontal="center" vertical="top"/>
      <protection hidden="1"/>
    </xf>
    <xf numFmtId="166" fontId="139" fillId="0" borderId="0" xfId="1" applyFont="1" applyAlignment="1" applyProtection="1">
      <alignment horizontal="center" vertical="top"/>
      <protection hidden="1"/>
    </xf>
    <xf numFmtId="171" fontId="73" fillId="0" borderId="0" xfId="1" applyNumberFormat="1" applyFont="1" applyAlignment="1" applyProtection="1">
      <alignment horizontal="right" vertical="center"/>
      <protection hidden="1"/>
    </xf>
    <xf numFmtId="166" fontId="73" fillId="0" borderId="0" xfId="1" applyFont="1" applyAlignment="1" applyProtection="1">
      <alignment vertical="center"/>
      <protection hidden="1"/>
    </xf>
    <xf numFmtId="171" fontId="73" fillId="0" borderId="0" xfId="1" applyNumberFormat="1" applyFont="1" applyAlignment="1" applyProtection="1">
      <alignment vertical="center"/>
      <protection hidden="1"/>
    </xf>
    <xf numFmtId="171" fontId="56" fillId="0" borderId="0" xfId="1" applyNumberFormat="1" applyFont="1" applyAlignment="1" applyProtection="1">
      <alignment horizontal="right" vertical="center"/>
      <protection hidden="1"/>
    </xf>
    <xf numFmtId="166" fontId="66" fillId="0" borderId="0" xfId="0" applyNumberFormat="1" applyFont="1" applyAlignment="1" applyProtection="1">
      <alignment vertical="center"/>
      <protection hidden="1"/>
    </xf>
    <xf numFmtId="166" fontId="66" fillId="0" borderId="0" xfId="1" applyFont="1" applyAlignment="1" applyProtection="1">
      <alignment vertical="center"/>
      <protection hidden="1"/>
    </xf>
    <xf numFmtId="171" fontId="225" fillId="0" borderId="0" xfId="1" applyNumberFormat="1" applyFont="1" applyAlignment="1" applyProtection="1">
      <alignment horizontal="right" vertical="center"/>
      <protection hidden="1"/>
    </xf>
    <xf numFmtId="167" fontId="225" fillId="0" borderId="0" xfId="2" applyNumberFormat="1" applyFont="1" applyAlignment="1" applyProtection="1">
      <alignment vertical="center"/>
      <protection hidden="1"/>
    </xf>
    <xf numFmtId="171" fontId="61" fillId="0" borderId="0" xfId="1" applyNumberFormat="1" applyFont="1" applyAlignment="1" applyProtection="1">
      <alignment horizontal="right" vertical="center"/>
      <protection hidden="1"/>
    </xf>
    <xf numFmtId="171" fontId="63" fillId="0" borderId="0" xfId="1" applyNumberFormat="1" applyFont="1" applyAlignment="1" applyProtection="1">
      <alignment vertical="center"/>
      <protection hidden="1"/>
    </xf>
    <xf numFmtId="171" fontId="63" fillId="0" borderId="9" xfId="1" applyNumberFormat="1" applyFont="1" applyBorder="1" applyAlignment="1" applyProtection="1">
      <alignment vertical="center"/>
      <protection hidden="1"/>
    </xf>
    <xf numFmtId="169" fontId="41" fillId="0" borderId="0" xfId="0" applyNumberFormat="1" applyFont="1" applyAlignment="1" applyProtection="1">
      <alignment vertical="center"/>
      <protection hidden="1"/>
    </xf>
    <xf numFmtId="171" fontId="41" fillId="0" borderId="0" xfId="0" applyNumberFormat="1" applyFont="1" applyAlignment="1" applyProtection="1">
      <alignment vertical="center"/>
      <protection hidden="1"/>
    </xf>
    <xf numFmtId="171" fontId="30" fillId="8" borderId="0" xfId="0" applyNumberFormat="1" applyFont="1" applyFill="1" applyAlignment="1" applyProtection="1">
      <alignment vertical="center"/>
      <protection hidden="1"/>
    </xf>
    <xf numFmtId="171" fontId="31" fillId="22" borderId="0" xfId="1" applyNumberFormat="1" applyFont="1" applyFill="1" applyAlignment="1" applyProtection="1">
      <alignment vertical="center"/>
      <protection locked="0" hidden="1"/>
    </xf>
    <xf numFmtId="171" fontId="208" fillId="0" borderId="0" xfId="1" applyNumberFormat="1" applyFont="1" applyAlignment="1" applyProtection="1">
      <alignment horizontal="right" vertical="center"/>
      <protection hidden="1"/>
    </xf>
    <xf numFmtId="171" fontId="208" fillId="0" borderId="0" xfId="1" applyNumberFormat="1" applyFont="1" applyAlignment="1" applyProtection="1">
      <alignment horizontal="left" vertical="center"/>
      <protection hidden="1"/>
    </xf>
    <xf numFmtId="171" fontId="49" fillId="0" borderId="59" xfId="1" applyNumberFormat="1" applyFont="1" applyBorder="1" applyAlignment="1" applyProtection="1">
      <alignment horizontal="left" vertical="top"/>
      <protection hidden="1"/>
    </xf>
    <xf numFmtId="171" fontId="105" fillId="0" borderId="59" xfId="1" applyNumberFormat="1" applyFont="1" applyBorder="1" applyAlignment="1" applyProtection="1">
      <alignment horizontal="center" vertical="center"/>
      <protection hidden="1"/>
    </xf>
    <xf numFmtId="175" fontId="41" fillId="22" borderId="88" xfId="0" applyNumberFormat="1" applyFont="1" applyFill="1" applyBorder="1" applyAlignment="1" applyProtection="1">
      <alignment vertical="center"/>
      <protection locked="0" hidden="1"/>
    </xf>
    <xf numFmtId="177" fontId="41" fillId="0" borderId="88" xfId="1" applyNumberFormat="1" applyFont="1" applyBorder="1" applyAlignment="1" applyProtection="1">
      <alignment horizontal="center" vertical="center"/>
      <protection hidden="1"/>
    </xf>
    <xf numFmtId="174" fontId="41" fillId="0" borderId="88" xfId="1" applyNumberFormat="1" applyFont="1" applyBorder="1" applyAlignment="1" applyProtection="1">
      <alignment horizontal="center" vertical="center"/>
      <protection hidden="1"/>
    </xf>
    <xf numFmtId="174" fontId="41" fillId="0" borderId="0" xfId="1" applyNumberFormat="1" applyFont="1" applyAlignment="1" applyProtection="1">
      <alignment horizontal="center" vertical="center"/>
      <protection hidden="1"/>
    </xf>
    <xf numFmtId="177" fontId="40" fillId="0" borderId="0" xfId="0" applyNumberFormat="1" applyFont="1" applyAlignment="1" applyProtection="1">
      <alignment vertical="center"/>
      <protection hidden="1"/>
    </xf>
    <xf numFmtId="175" fontId="41" fillId="0" borderId="0" xfId="0" applyNumberFormat="1" applyFont="1" applyAlignment="1" applyProtection="1">
      <alignment vertical="center"/>
      <protection locked="0" hidden="1"/>
    </xf>
    <xf numFmtId="177" fontId="41" fillId="0" borderId="0" xfId="1" applyNumberFormat="1" applyFont="1" applyAlignment="1" applyProtection="1">
      <alignment horizontal="center" vertical="center"/>
      <protection hidden="1"/>
    </xf>
    <xf numFmtId="175" fontId="43" fillId="22" borderId="0" xfId="0" applyNumberFormat="1" applyFont="1" applyFill="1" applyAlignment="1" applyProtection="1">
      <alignment vertical="center"/>
      <protection locked="0" hidden="1"/>
    </xf>
    <xf numFmtId="177" fontId="42" fillId="0" borderId="0" xfId="1" applyNumberFormat="1" applyFont="1" applyAlignment="1" applyProtection="1">
      <alignment horizontal="center" vertical="center"/>
      <protection hidden="1"/>
    </xf>
    <xf numFmtId="174" fontId="42" fillId="0" borderId="0" xfId="1" applyNumberFormat="1" applyFont="1" applyAlignment="1" applyProtection="1">
      <alignment horizontal="center" vertical="center"/>
      <protection hidden="1"/>
    </xf>
    <xf numFmtId="175" fontId="43" fillId="22" borderId="88" xfId="0" applyNumberFormat="1" applyFont="1" applyFill="1" applyBorder="1" applyAlignment="1" applyProtection="1">
      <alignment vertical="center"/>
      <protection locked="0" hidden="1"/>
    </xf>
    <xf numFmtId="177" fontId="42" fillId="0" borderId="88" xfId="1" applyNumberFormat="1" applyFont="1" applyBorder="1" applyAlignment="1" applyProtection="1">
      <alignment horizontal="center" vertical="center"/>
      <protection hidden="1"/>
    </xf>
    <xf numFmtId="174" fontId="42" fillId="0" borderId="88" xfId="1" applyNumberFormat="1" applyFont="1" applyBorder="1" applyAlignment="1" applyProtection="1">
      <alignment horizontal="center" vertical="center"/>
      <protection hidden="1"/>
    </xf>
    <xf numFmtId="175" fontId="41" fillId="22" borderId="0" xfId="0" applyNumberFormat="1" applyFont="1" applyFill="1" applyAlignment="1" applyProtection="1">
      <alignment vertical="center"/>
      <protection locked="0" hidden="1"/>
    </xf>
    <xf numFmtId="175" fontId="41" fillId="22" borderId="59" xfId="0" applyNumberFormat="1" applyFont="1" applyFill="1" applyBorder="1" applyAlignment="1" applyProtection="1">
      <alignment vertical="center"/>
      <protection locked="0" hidden="1"/>
    </xf>
    <xf numFmtId="177" fontId="41" fillId="0" borderId="59" xfId="1" applyNumberFormat="1" applyFont="1" applyBorder="1" applyAlignment="1" applyProtection="1">
      <alignment horizontal="center" vertical="center"/>
      <protection hidden="1"/>
    </xf>
    <xf numFmtId="174" fontId="41" fillId="0" borderId="59" xfId="1" applyNumberFormat="1" applyFont="1" applyBorder="1" applyAlignment="1" applyProtection="1">
      <alignment horizontal="center" vertical="center"/>
      <protection hidden="1"/>
    </xf>
    <xf numFmtId="175" fontId="106" fillId="0" borderId="0" xfId="0" applyNumberFormat="1" applyFont="1" applyAlignment="1" applyProtection="1">
      <alignment vertical="center"/>
      <protection hidden="1"/>
    </xf>
    <xf numFmtId="177" fontId="30" fillId="0" borderId="105" xfId="1" applyNumberFormat="1" applyFont="1" applyBorder="1" applyAlignment="1" applyProtection="1">
      <alignment horizontal="center" vertical="center"/>
      <protection hidden="1"/>
    </xf>
    <xf numFmtId="174" fontId="30" fillId="0" borderId="105" xfId="1" applyNumberFormat="1" applyFont="1" applyBorder="1" applyAlignment="1" applyProtection="1">
      <alignment horizontal="center" vertical="center"/>
      <protection hidden="1"/>
    </xf>
    <xf numFmtId="176" fontId="41" fillId="0" borderId="0" xfId="0" applyNumberFormat="1" applyFont="1" applyAlignment="1" applyProtection="1">
      <alignment vertical="center"/>
      <protection hidden="1"/>
    </xf>
    <xf numFmtId="176" fontId="41" fillId="22" borderId="0" xfId="0" applyNumberFormat="1" applyFont="1" applyFill="1" applyAlignment="1" applyProtection="1">
      <alignment vertical="center"/>
      <protection locked="0" hidden="1"/>
    </xf>
    <xf numFmtId="174" fontId="133" fillId="0" borderId="0" xfId="0" applyNumberFormat="1" applyFont="1" applyAlignment="1" applyProtection="1">
      <alignment vertical="center"/>
      <protection hidden="1"/>
    </xf>
    <xf numFmtId="171" fontId="141" fillId="0" borderId="0" xfId="1" applyNumberFormat="1" applyFont="1" applyAlignment="1" applyProtection="1">
      <alignment vertical="center"/>
      <protection hidden="1"/>
    </xf>
    <xf numFmtId="176" fontId="41" fillId="22" borderId="59" xfId="0" applyNumberFormat="1" applyFont="1" applyFill="1" applyBorder="1" applyAlignment="1" applyProtection="1">
      <alignment vertical="center"/>
      <protection locked="0" hidden="1"/>
    </xf>
    <xf numFmtId="176" fontId="106" fillId="8" borderId="106" xfId="0" applyNumberFormat="1" applyFont="1" applyFill="1" applyBorder="1" applyAlignment="1" applyProtection="1">
      <alignment vertical="center"/>
      <protection hidden="1"/>
    </xf>
    <xf numFmtId="177" fontId="106" fillId="8" borderId="106" xfId="1" applyNumberFormat="1" applyFont="1" applyFill="1" applyBorder="1" applyAlignment="1" applyProtection="1">
      <alignment horizontal="center" vertical="center"/>
      <protection hidden="1"/>
    </xf>
    <xf numFmtId="174" fontId="106" fillId="8" borderId="106" xfId="1" applyNumberFormat="1" applyFont="1" applyFill="1" applyBorder="1" applyAlignment="1" applyProtection="1">
      <alignment horizontal="center" vertical="center"/>
      <protection hidden="1"/>
    </xf>
    <xf numFmtId="177" fontId="41" fillId="0" borderId="0" xfId="0" applyNumberFormat="1" applyFont="1" applyAlignment="1" applyProtection="1">
      <alignment horizontal="center" vertical="center"/>
      <protection hidden="1"/>
    </xf>
    <xf numFmtId="177" fontId="41" fillId="22" borderId="0" xfId="0" applyNumberFormat="1" applyFont="1" applyFill="1" applyAlignment="1" applyProtection="1">
      <alignment horizontal="center" vertical="center"/>
      <protection locked="0" hidden="1"/>
    </xf>
    <xf numFmtId="177" fontId="198" fillId="0" borderId="0" xfId="0" applyNumberFormat="1" applyFont="1" applyAlignment="1" applyProtection="1">
      <alignment horizontal="right" vertical="center"/>
      <protection hidden="1"/>
    </xf>
    <xf numFmtId="2" fontId="1" fillId="0" borderId="0" xfId="0" applyNumberFormat="1" applyFont="1" applyAlignment="1" applyProtection="1">
      <alignment horizontal="center" vertical="center"/>
      <protection hidden="1"/>
    </xf>
    <xf numFmtId="0" fontId="235" fillId="0" borderId="0" xfId="0" applyFont="1" applyAlignment="1" applyProtection="1">
      <alignment vertical="center"/>
      <protection hidden="1"/>
    </xf>
    <xf numFmtId="0" fontId="2" fillId="0" borderId="0" xfId="0" applyFont="1"/>
    <xf numFmtId="0" fontId="226" fillId="0" borderId="72" xfId="0" applyFont="1" applyBorder="1" applyAlignment="1" applyProtection="1">
      <alignment horizontal="center" vertical="center"/>
      <protection hidden="1"/>
    </xf>
    <xf numFmtId="166" fontId="44" fillId="0" borderId="0" xfId="1" applyFont="1" applyAlignment="1" applyProtection="1">
      <alignment horizontal="center" vertical="top"/>
      <protection hidden="1"/>
    </xf>
    <xf numFmtId="0" fontId="3" fillId="0" borderId="28" xfId="0" applyFont="1" applyFill="1" applyBorder="1" applyAlignment="1" applyProtection="1">
      <alignment vertical="center"/>
      <protection hidden="1"/>
    </xf>
    <xf numFmtId="2" fontId="11" fillId="0" borderId="33" xfId="0" applyNumberFormat="1" applyFont="1" applyFill="1" applyBorder="1" applyAlignment="1" applyProtection="1">
      <alignment vertical="center"/>
      <protection hidden="1"/>
    </xf>
    <xf numFmtId="0" fontId="11" fillId="0" borderId="29" xfId="0" applyFont="1" applyFill="1" applyBorder="1" applyAlignment="1" applyProtection="1">
      <alignment horizontal="center"/>
      <protection hidden="1"/>
    </xf>
    <xf numFmtId="49" fontId="7" fillId="6" borderId="59" xfId="0" applyNumberFormat="1" applyFont="1" applyFill="1" applyBorder="1" applyAlignment="1" applyProtection="1">
      <alignment horizontal="center" vertical="center"/>
      <protection hidden="1"/>
    </xf>
    <xf numFmtId="0" fontId="32" fillId="4" borderId="54" xfId="0" applyFont="1" applyFill="1" applyBorder="1" applyAlignment="1" applyProtection="1">
      <alignment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7" fillId="6" borderId="20" xfId="0" applyFont="1" applyFill="1" applyBorder="1" applyAlignment="1" applyProtection="1">
      <alignment horizontal="center" vertical="center"/>
      <protection locked="0" hidden="1"/>
    </xf>
    <xf numFmtId="0" fontId="11" fillId="0" borderId="31" xfId="0" applyFont="1" applyBorder="1" applyAlignment="1" applyProtection="1">
      <alignment horizontal="center" vertical="center"/>
      <protection locked="0" hidden="1"/>
    </xf>
    <xf numFmtId="0" fontId="11" fillId="0" borderId="34" xfId="0" applyFont="1" applyBorder="1" applyAlignment="1" applyProtection="1">
      <alignment horizontal="center" vertical="center"/>
      <protection locked="0" hidden="1"/>
    </xf>
    <xf numFmtId="0" fontId="0" fillId="0" borderId="27" xfId="0" applyBorder="1" applyAlignment="1" applyProtection="1">
      <alignment horizontal="center" vertical="center"/>
      <protection locked="0" hidden="1"/>
    </xf>
    <xf numFmtId="0" fontId="0" fillId="0" borderId="26" xfId="0" applyBorder="1" applyAlignment="1" applyProtection="1">
      <alignment horizontal="center" vertical="center"/>
      <protection locked="0" hidden="1"/>
    </xf>
    <xf numFmtId="0" fontId="0" fillId="0" borderId="60" xfId="0" applyBorder="1" applyAlignment="1" applyProtection="1">
      <alignment horizontal="center" vertical="center"/>
      <protection locked="0" hidden="1"/>
    </xf>
    <xf numFmtId="0" fontId="26" fillId="0" borderId="0" xfId="0" applyFont="1" applyAlignment="1" applyProtection="1">
      <alignment horizontal="center" vertical="center"/>
      <protection locked="0" hidden="1"/>
    </xf>
    <xf numFmtId="0" fontId="27" fillId="4" borderId="46" xfId="0" applyFont="1" applyFill="1" applyBorder="1" applyAlignment="1" applyProtection="1">
      <alignment horizontal="center" vertical="center"/>
      <protection hidden="1"/>
    </xf>
    <xf numFmtId="0" fontId="8" fillId="0" borderId="38" xfId="0" applyFont="1" applyBorder="1" applyAlignment="1" applyProtection="1">
      <alignment horizontal="center" vertical="center"/>
      <protection hidden="1"/>
    </xf>
    <xf numFmtId="0" fontId="8" fillId="0" borderId="42" xfId="0" applyFont="1" applyBorder="1" applyAlignment="1" applyProtection="1">
      <alignment horizontal="center" vertical="center"/>
      <protection hidden="1"/>
    </xf>
    <xf numFmtId="0" fontId="12" fillId="0" borderId="2" xfId="0" applyFont="1" applyBorder="1" applyAlignment="1" applyProtection="1">
      <alignment horizontal="center" vertical="center"/>
      <protection hidden="1"/>
    </xf>
    <xf numFmtId="0" fontId="8" fillId="0" borderId="13" xfId="0" applyFont="1" applyBorder="1" applyAlignment="1" applyProtection="1">
      <alignment horizontal="center" vertical="center"/>
      <protection hidden="1"/>
    </xf>
    <xf numFmtId="0" fontId="17" fillId="0" borderId="2" xfId="0" applyFont="1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0" fillId="0" borderId="6" xfId="0" applyBorder="1" applyAlignment="1" applyProtection="1">
      <alignment horizontal="center" vertical="center"/>
      <protection hidden="1"/>
    </xf>
    <xf numFmtId="2" fontId="11" fillId="0" borderId="133" xfId="0" applyNumberFormat="1" applyFont="1" applyBorder="1" applyAlignment="1" applyProtection="1">
      <alignment horizontal="center" vertical="center"/>
      <protection hidden="1"/>
    </xf>
    <xf numFmtId="2" fontId="11" fillId="0" borderId="33" xfId="0" applyNumberFormat="1" applyFont="1" applyBorder="1" applyAlignment="1" applyProtection="1">
      <alignment horizontal="center" vertical="center"/>
      <protection hidden="1"/>
    </xf>
    <xf numFmtId="10" fontId="11" fillId="0" borderId="1" xfId="3" applyNumberFormat="1" applyFont="1" applyBorder="1" applyAlignment="1" applyProtection="1">
      <alignment horizontal="center" vertical="center"/>
      <protection hidden="1"/>
    </xf>
    <xf numFmtId="2" fontId="0" fillId="0" borderId="59" xfId="0" applyNumberFormat="1" applyBorder="1" applyAlignment="1" applyProtection="1">
      <alignment horizontal="center" vertical="center"/>
      <protection hidden="1"/>
    </xf>
    <xf numFmtId="173" fontId="37" fillId="9" borderId="21" xfId="1" applyNumberFormat="1" applyFont="1" applyFill="1" applyBorder="1" applyAlignment="1" applyProtection="1">
      <alignment horizontal="center" vertical="center"/>
      <protection hidden="1"/>
    </xf>
    <xf numFmtId="167" fontId="8" fillId="0" borderId="37" xfId="2" applyNumberFormat="1" applyFont="1" applyBorder="1" applyAlignment="1" applyProtection="1">
      <alignment horizontal="center" vertical="center"/>
      <protection hidden="1"/>
    </xf>
    <xf numFmtId="171" fontId="26" fillId="0" borderId="0" xfId="1" applyNumberFormat="1" applyFont="1" applyAlignment="1" applyProtection="1">
      <alignment horizontal="center" vertical="center"/>
      <protection hidden="1"/>
    </xf>
    <xf numFmtId="167" fontId="8" fillId="0" borderId="41" xfId="2" applyNumberFormat="1" applyFont="1" applyBorder="1" applyAlignment="1" applyProtection="1">
      <alignment horizontal="center" vertical="center"/>
      <protection hidden="1"/>
    </xf>
    <xf numFmtId="167" fontId="12" fillId="0" borderId="1" xfId="2" applyNumberFormat="1" applyFont="1" applyBorder="1" applyAlignment="1" applyProtection="1">
      <alignment horizontal="center" vertical="center"/>
      <protection hidden="1"/>
    </xf>
    <xf numFmtId="167" fontId="8" fillId="0" borderId="12" xfId="2" applyNumberFormat="1" applyFont="1" applyBorder="1" applyAlignment="1" applyProtection="1">
      <alignment horizontal="center" vertical="center"/>
      <protection hidden="1"/>
    </xf>
    <xf numFmtId="0" fontId="34" fillId="8" borderId="54" xfId="0" applyFont="1" applyFill="1" applyBorder="1" applyAlignment="1" applyProtection="1">
      <alignment horizontal="left" vertical="center"/>
      <protection hidden="1"/>
    </xf>
    <xf numFmtId="0" fontId="35" fillId="8" borderId="76" xfId="0" applyFont="1" applyFill="1" applyBorder="1" applyAlignment="1" applyProtection="1">
      <alignment horizontal="center" vertical="center"/>
      <protection hidden="1"/>
    </xf>
    <xf numFmtId="0" fontId="35" fillId="8" borderId="17" xfId="0" applyFont="1" applyFill="1" applyBorder="1" applyAlignment="1" applyProtection="1">
      <alignment horizontal="center" vertical="center"/>
      <protection hidden="1"/>
    </xf>
    <xf numFmtId="0" fontId="32" fillId="4" borderId="23" xfId="0" applyFont="1" applyFill="1" applyBorder="1" applyProtection="1">
      <protection hidden="1"/>
    </xf>
    <xf numFmtId="166" fontId="12" fillId="0" borderId="80" xfId="1" applyFont="1" applyBorder="1" applyProtection="1">
      <protection hidden="1"/>
    </xf>
    <xf numFmtId="2" fontId="11" fillId="0" borderId="29" xfId="0" applyNumberFormat="1" applyFont="1" applyBorder="1" applyProtection="1">
      <protection hidden="1"/>
    </xf>
    <xf numFmtId="0" fontId="11" fillId="0" borderId="81" xfId="0" applyFont="1" applyBorder="1" applyProtection="1">
      <protection locked="0" hidden="1"/>
    </xf>
    <xf numFmtId="0" fontId="32" fillId="4" borderId="23" xfId="0" applyFont="1" applyFill="1" applyBorder="1" applyAlignment="1" applyProtection="1">
      <alignment vertical="center"/>
      <protection hidden="1"/>
    </xf>
    <xf numFmtId="0" fontId="32" fillId="4" borderId="54" xfId="0" applyFont="1" applyFill="1" applyBorder="1" applyProtection="1">
      <protection hidden="1"/>
    </xf>
    <xf numFmtId="2" fontId="10" fillId="0" borderId="0" xfId="0" applyNumberFormat="1" applyFont="1" applyFill="1" applyAlignment="1" applyProtection="1">
      <alignment horizontal="center" vertical="center"/>
      <protection hidden="1"/>
    </xf>
    <xf numFmtId="0" fontId="0" fillId="0" borderId="0" xfId="0" applyFill="1" applyAlignment="1" applyProtection="1">
      <alignment vertical="center"/>
      <protection hidden="1"/>
    </xf>
    <xf numFmtId="2" fontId="10" fillId="0" borderId="0" xfId="0" applyNumberFormat="1" applyFont="1" applyFill="1" applyAlignment="1" applyProtection="1">
      <alignment horizontal="left" vertical="center"/>
      <protection hidden="1"/>
    </xf>
    <xf numFmtId="2" fontId="181" fillId="0" borderId="0" xfId="0" applyNumberFormat="1" applyFont="1" applyFill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121" fillId="3" borderId="0" xfId="0" applyFont="1" applyFill="1" applyProtection="1">
      <protection hidden="1"/>
    </xf>
    <xf numFmtId="0" fontId="122" fillId="3" borderId="0" xfId="0" applyFont="1" applyFill="1" applyProtection="1">
      <protection hidden="1"/>
    </xf>
    <xf numFmtId="166" fontId="0" fillId="0" borderId="0" xfId="1" applyFont="1" applyProtection="1">
      <protection hidden="1"/>
    </xf>
    <xf numFmtId="0" fontId="98" fillId="0" borderId="0" xfId="0" applyFont="1" applyProtection="1">
      <protection hidden="1"/>
    </xf>
    <xf numFmtId="0" fontId="7" fillId="0" borderId="0" xfId="0" applyFont="1" applyAlignment="1" applyProtection="1">
      <alignment horizontal="right"/>
      <protection hidden="1"/>
    </xf>
    <xf numFmtId="17" fontId="17" fillId="0" borderId="0" xfId="0" applyNumberFormat="1" applyFont="1" applyAlignment="1" applyProtection="1">
      <alignment horizontal="center"/>
      <protection hidden="1"/>
    </xf>
    <xf numFmtId="0" fontId="175" fillId="0" borderId="0" xfId="0" applyFont="1" applyProtection="1">
      <protection hidden="1"/>
    </xf>
    <xf numFmtId="0" fontId="176" fillId="0" borderId="0" xfId="0" applyFont="1" applyAlignment="1" applyProtection="1">
      <alignment horizontal="center"/>
      <protection hidden="1"/>
    </xf>
    <xf numFmtId="49" fontId="176" fillId="0" borderId="0" xfId="0" applyNumberFormat="1" applyFont="1" applyAlignment="1" applyProtection="1">
      <alignment horizontal="center"/>
      <protection hidden="1"/>
    </xf>
    <xf numFmtId="17" fontId="17" fillId="0" borderId="59" xfId="0" applyNumberFormat="1" applyFont="1" applyBorder="1" applyAlignment="1" applyProtection="1">
      <alignment horizontal="left"/>
      <protection hidden="1"/>
    </xf>
    <xf numFmtId="17" fontId="55" fillId="0" borderId="59" xfId="0" applyNumberFormat="1" applyFont="1" applyBorder="1" applyAlignment="1" applyProtection="1">
      <alignment horizontal="center"/>
      <protection hidden="1"/>
    </xf>
    <xf numFmtId="15" fontId="221" fillId="0" borderId="0" xfId="0" applyNumberFormat="1" applyFont="1" applyProtection="1">
      <protection hidden="1"/>
    </xf>
    <xf numFmtId="17" fontId="17" fillId="0" borderId="0" xfId="0" applyNumberFormat="1" applyFont="1" applyProtection="1">
      <protection hidden="1"/>
    </xf>
    <xf numFmtId="15" fontId="176" fillId="0" borderId="0" xfId="0" applyNumberFormat="1" applyFont="1" applyAlignment="1" applyProtection="1">
      <alignment horizontal="center"/>
      <protection hidden="1"/>
    </xf>
    <xf numFmtId="49" fontId="98" fillId="0" borderId="0" xfId="0" applyNumberFormat="1" applyFont="1" applyAlignment="1" applyProtection="1">
      <alignment horizontal="center"/>
      <protection hidden="1"/>
    </xf>
    <xf numFmtId="0" fontId="20" fillId="0" borderId="0" xfId="0" applyFont="1" applyProtection="1">
      <protection hidden="1"/>
    </xf>
    <xf numFmtId="0" fontId="54" fillId="0" borderId="0" xfId="0" applyFont="1" applyAlignment="1" applyProtection="1">
      <alignment horizontal="center"/>
      <protection hidden="1"/>
    </xf>
    <xf numFmtId="166" fontId="20" fillId="0" borderId="0" xfId="1" applyFont="1" applyProtection="1">
      <protection hidden="1"/>
    </xf>
    <xf numFmtId="166" fontId="83" fillId="0" borderId="0" xfId="1" applyFont="1" applyProtection="1">
      <protection hidden="1"/>
    </xf>
    <xf numFmtId="166" fontId="86" fillId="0" borderId="0" xfId="1" applyFont="1" applyProtection="1">
      <protection hidden="1"/>
    </xf>
    <xf numFmtId="10" fontId="20" fillId="0" borderId="0" xfId="3" applyNumberFormat="1" applyFont="1" applyAlignment="1" applyProtection="1">
      <alignment horizontal="center"/>
      <protection hidden="1"/>
    </xf>
    <xf numFmtId="0" fontId="118" fillId="0" borderId="0" xfId="0" applyFont="1" applyProtection="1">
      <protection hidden="1"/>
    </xf>
    <xf numFmtId="49" fontId="186" fillId="0" borderId="0" xfId="0" applyNumberFormat="1" applyFont="1" applyAlignment="1" applyProtection="1">
      <alignment horizontal="center"/>
      <protection hidden="1"/>
    </xf>
    <xf numFmtId="9" fontId="167" fillId="0" borderId="0" xfId="3" applyFont="1" applyAlignment="1" applyProtection="1">
      <alignment horizontal="center"/>
      <protection hidden="1"/>
    </xf>
    <xf numFmtId="9" fontId="181" fillId="0" borderId="0" xfId="3" applyFont="1" applyProtection="1">
      <protection hidden="1"/>
    </xf>
    <xf numFmtId="166" fontId="181" fillId="0" borderId="0" xfId="1" applyFont="1" applyProtection="1">
      <protection hidden="1"/>
    </xf>
    <xf numFmtId="10" fontId="0" fillId="0" borderId="0" xfId="3" applyNumberFormat="1" applyFont="1" applyAlignment="1" applyProtection="1">
      <alignment horizontal="center"/>
      <protection hidden="1"/>
    </xf>
    <xf numFmtId="166" fontId="177" fillId="0" borderId="0" xfId="1" applyFont="1" applyProtection="1">
      <protection hidden="1"/>
    </xf>
    <xf numFmtId="0" fontId="3" fillId="0" borderId="0" xfId="0" applyFont="1" applyProtection="1">
      <protection hidden="1"/>
    </xf>
    <xf numFmtId="0" fontId="1" fillId="0" borderId="0" xfId="0" applyFont="1" applyProtection="1">
      <protection hidden="1"/>
    </xf>
    <xf numFmtId="0" fontId="1" fillId="27" borderId="0" xfId="0" applyFont="1" applyFill="1" applyProtection="1">
      <protection hidden="1"/>
    </xf>
    <xf numFmtId="0" fontId="22" fillId="0" borderId="0" xfId="0" applyFont="1" applyAlignment="1" applyProtection="1">
      <alignment horizontal="center"/>
      <protection hidden="1"/>
    </xf>
    <xf numFmtId="0" fontId="1" fillId="0" borderId="0" xfId="0" applyFont="1" applyBorder="1" applyProtection="1">
      <protection hidden="1"/>
    </xf>
    <xf numFmtId="49" fontId="22" fillId="0" borderId="0" xfId="0" applyNumberFormat="1" applyFont="1" applyAlignment="1" applyProtection="1">
      <alignment horizontal="center"/>
      <protection hidden="1"/>
    </xf>
    <xf numFmtId="0" fontId="22" fillId="0" borderId="0" xfId="0" applyFont="1" applyProtection="1">
      <protection hidden="1"/>
    </xf>
    <xf numFmtId="0" fontId="101" fillId="0" borderId="0" xfId="0" applyFont="1" applyAlignment="1" applyProtection="1">
      <alignment horizontal="left"/>
      <protection hidden="1"/>
    </xf>
    <xf numFmtId="166" fontId="99" fillId="0" borderId="0" xfId="1" applyFont="1" applyProtection="1">
      <protection hidden="1"/>
    </xf>
    <xf numFmtId="9" fontId="104" fillId="0" borderId="0" xfId="3"/>
    <xf numFmtId="0" fontId="30" fillId="0" borderId="0" xfId="0" applyFont="1" applyAlignment="1" applyProtection="1">
      <alignment horizontal="center" vertical="center"/>
      <protection hidden="1"/>
    </xf>
    <xf numFmtId="186" fontId="41" fillId="0" borderId="0" xfId="0" applyNumberFormat="1" applyFont="1" applyAlignment="1" applyProtection="1">
      <alignment vertical="center"/>
      <protection hidden="1"/>
    </xf>
    <xf numFmtId="186" fontId="227" fillId="24" borderId="0" xfId="0" applyNumberFormat="1" applyFont="1" applyFill="1" applyAlignment="1" applyProtection="1">
      <alignment vertical="center"/>
      <protection hidden="1"/>
    </xf>
    <xf numFmtId="0" fontId="40" fillId="0" borderId="0" xfId="0" applyFont="1" applyBorder="1" applyAlignment="1" applyProtection="1">
      <alignment vertical="center"/>
      <protection hidden="1"/>
    </xf>
    <xf numFmtId="187" fontId="41" fillId="0" borderId="0" xfId="0" applyNumberFormat="1" applyFont="1" applyBorder="1" applyAlignment="1" applyProtection="1">
      <alignment vertical="center"/>
      <protection hidden="1"/>
    </xf>
    <xf numFmtId="187" fontId="227" fillId="24" borderId="0" xfId="0" applyNumberFormat="1" applyFont="1" applyFill="1" applyBorder="1" applyAlignment="1" applyProtection="1">
      <alignment vertical="center"/>
      <protection hidden="1"/>
    </xf>
    <xf numFmtId="171" fontId="104" fillId="0" borderId="103" xfId="1" applyNumberFormat="1" applyBorder="1"/>
    <xf numFmtId="171" fontId="237" fillId="24" borderId="103" xfId="1" applyNumberFormat="1" applyFont="1" applyFill="1" applyBorder="1"/>
    <xf numFmtId="166" fontId="239" fillId="0" borderId="53" xfId="1" applyFont="1" applyBorder="1" applyAlignment="1" applyProtection="1">
      <alignment vertical="center"/>
      <protection hidden="1"/>
    </xf>
    <xf numFmtId="166" fontId="240" fillId="0" borderId="53" xfId="1" applyFont="1" applyBorder="1" applyAlignment="1" applyProtection="1">
      <alignment vertical="center"/>
      <protection hidden="1"/>
    </xf>
    <xf numFmtId="166" fontId="240" fillId="0" borderId="52" xfId="1" applyFont="1" applyBorder="1" applyAlignment="1" applyProtection="1">
      <alignment vertical="center"/>
      <protection hidden="1"/>
    </xf>
    <xf numFmtId="166" fontId="240" fillId="0" borderId="0" xfId="1" applyFont="1" applyAlignment="1" applyProtection="1">
      <alignment vertical="center"/>
      <protection hidden="1"/>
    </xf>
    <xf numFmtId="166" fontId="240" fillId="0" borderId="50" xfId="1" applyFont="1" applyBorder="1" applyAlignment="1" applyProtection="1">
      <alignment vertical="center"/>
      <protection hidden="1"/>
    </xf>
    <xf numFmtId="166" fontId="241" fillId="0" borderId="0" xfId="1" applyFont="1" applyAlignment="1" applyProtection="1">
      <alignment horizontal="center" vertical="center"/>
      <protection hidden="1"/>
    </xf>
    <xf numFmtId="166" fontId="241" fillId="0" borderId="71" xfId="1" applyFont="1" applyBorder="1" applyAlignment="1" applyProtection="1">
      <alignment horizontal="center" vertical="center"/>
      <protection hidden="1"/>
    </xf>
    <xf numFmtId="0" fontId="241" fillId="0" borderId="50" xfId="1" applyNumberFormat="1" applyFont="1" applyBorder="1" applyAlignment="1" applyProtection="1">
      <alignment vertical="center"/>
      <protection hidden="1"/>
    </xf>
    <xf numFmtId="166" fontId="241" fillId="0" borderId="0" xfId="1" applyFont="1" applyAlignment="1" applyProtection="1">
      <alignment vertical="center"/>
      <protection hidden="1"/>
    </xf>
    <xf numFmtId="166" fontId="241" fillId="0" borderId="0" xfId="1" applyFont="1" applyFill="1" applyAlignment="1" applyProtection="1">
      <alignment vertical="center"/>
      <protection locked="0"/>
    </xf>
    <xf numFmtId="166" fontId="241" fillId="0" borderId="71" xfId="1" applyFont="1" applyFill="1" applyBorder="1" applyAlignment="1" applyProtection="1">
      <alignment vertical="center"/>
      <protection locked="0"/>
    </xf>
    <xf numFmtId="0" fontId="240" fillId="0" borderId="50" xfId="1" applyNumberFormat="1" applyFont="1" applyBorder="1" applyAlignment="1" applyProtection="1">
      <alignment vertical="center"/>
      <protection hidden="1"/>
    </xf>
    <xf numFmtId="183" fontId="240" fillId="0" borderId="0" xfId="1" applyNumberFormat="1" applyFont="1" applyAlignment="1" applyProtection="1">
      <alignment vertical="center"/>
      <protection hidden="1"/>
    </xf>
    <xf numFmtId="183" fontId="240" fillId="0" borderId="71" xfId="1" applyNumberFormat="1" applyFont="1" applyBorder="1" applyAlignment="1" applyProtection="1">
      <alignment vertical="center"/>
      <protection hidden="1"/>
    </xf>
    <xf numFmtId="175" fontId="240" fillId="0" borderId="0" xfId="1" applyNumberFormat="1" applyFont="1" applyFill="1" applyAlignment="1" applyProtection="1">
      <alignment vertical="center"/>
      <protection locked="0"/>
    </xf>
    <xf numFmtId="175" fontId="240" fillId="0" borderId="71" xfId="1" applyNumberFormat="1" applyFont="1" applyFill="1" applyBorder="1" applyAlignment="1" applyProtection="1">
      <alignment vertical="center"/>
      <protection locked="0"/>
    </xf>
    <xf numFmtId="0" fontId="242" fillId="0" borderId="50" xfId="1" applyNumberFormat="1" applyFont="1" applyBorder="1" applyAlignment="1" applyProtection="1">
      <alignment vertical="center"/>
      <protection hidden="1"/>
    </xf>
    <xf numFmtId="168" fontId="242" fillId="0" borderId="0" xfId="1" applyNumberFormat="1" applyFont="1" applyAlignment="1" applyProtection="1">
      <alignment vertical="center"/>
      <protection hidden="1"/>
    </xf>
    <xf numFmtId="168" fontId="242" fillId="0" borderId="71" xfId="1" applyNumberFormat="1" applyFont="1" applyBorder="1" applyAlignment="1" applyProtection="1">
      <alignment vertical="center"/>
      <protection hidden="1"/>
    </xf>
    <xf numFmtId="166" fontId="240" fillId="0" borderId="71" xfId="1" applyFont="1" applyBorder="1" applyAlignment="1" applyProtection="1">
      <alignment vertical="center"/>
      <protection hidden="1"/>
    </xf>
    <xf numFmtId="10" fontId="243" fillId="0" borderId="0" xfId="3" applyNumberFormat="1" applyFont="1" applyAlignment="1" applyProtection="1">
      <alignment horizontal="right" vertical="center"/>
      <protection hidden="1"/>
    </xf>
    <xf numFmtId="0" fontId="244" fillId="0" borderId="50" xfId="1" applyNumberFormat="1" applyFont="1" applyBorder="1" applyAlignment="1" applyProtection="1">
      <alignment vertical="center"/>
      <protection hidden="1"/>
    </xf>
    <xf numFmtId="166" fontId="244" fillId="0" borderId="0" xfId="1" applyFont="1" applyAlignment="1" applyProtection="1">
      <alignment vertical="center"/>
      <protection hidden="1"/>
    </xf>
    <xf numFmtId="184" fontId="240" fillId="0" borderId="0" xfId="2" applyNumberFormat="1" applyFont="1" applyAlignment="1" applyProtection="1">
      <alignment vertical="center"/>
      <protection hidden="1"/>
    </xf>
    <xf numFmtId="184" fontId="240" fillId="0" borderId="71" xfId="2" applyNumberFormat="1" applyFont="1" applyBorder="1" applyAlignment="1" applyProtection="1">
      <alignment vertical="center"/>
      <protection hidden="1"/>
    </xf>
    <xf numFmtId="10" fontId="243" fillId="0" borderId="0" xfId="3" applyNumberFormat="1" applyFont="1" applyAlignment="1" applyProtection="1">
      <alignment vertical="center"/>
      <protection hidden="1"/>
    </xf>
    <xf numFmtId="169" fontId="240" fillId="0" borderId="0" xfId="2" applyFont="1" applyAlignment="1" applyProtection="1">
      <alignment vertical="center"/>
      <protection hidden="1"/>
    </xf>
    <xf numFmtId="184" fontId="240" fillId="0" borderId="59" xfId="2" applyNumberFormat="1" applyFont="1" applyBorder="1" applyAlignment="1" applyProtection="1">
      <alignment vertical="center"/>
      <protection hidden="1"/>
    </xf>
    <xf numFmtId="184" fontId="240" fillId="0" borderId="58" xfId="2" applyNumberFormat="1" applyFont="1" applyBorder="1" applyAlignment="1" applyProtection="1">
      <alignment vertical="center"/>
      <protection hidden="1"/>
    </xf>
    <xf numFmtId="184" fontId="241" fillId="0" borderId="0" xfId="2" applyNumberFormat="1" applyFont="1" applyAlignment="1" applyProtection="1">
      <alignment vertical="center"/>
      <protection hidden="1"/>
    </xf>
    <xf numFmtId="184" fontId="241" fillId="0" borderId="71" xfId="2" applyNumberFormat="1" applyFont="1" applyBorder="1" applyAlignment="1" applyProtection="1">
      <alignment vertical="center"/>
      <protection hidden="1"/>
    </xf>
    <xf numFmtId="166" fontId="245" fillId="0" borderId="0" xfId="1" applyFont="1" applyAlignment="1" applyProtection="1">
      <alignment vertical="center"/>
      <protection hidden="1"/>
    </xf>
    <xf numFmtId="10" fontId="240" fillId="0" borderId="0" xfId="3" applyNumberFormat="1" applyFont="1" applyAlignment="1" applyProtection="1">
      <alignment horizontal="center" vertical="center"/>
      <protection hidden="1"/>
    </xf>
    <xf numFmtId="0" fontId="246" fillId="0" borderId="0" xfId="1" applyNumberFormat="1" applyFont="1" applyAlignment="1" applyProtection="1">
      <alignment horizontal="right" vertical="center"/>
      <protection hidden="1"/>
    </xf>
    <xf numFmtId="184" fontId="246" fillId="0" borderId="0" xfId="2" applyNumberFormat="1" applyFont="1" applyAlignment="1" applyProtection="1">
      <alignment vertical="center"/>
      <protection hidden="1"/>
    </xf>
    <xf numFmtId="184" fontId="246" fillId="0" borderId="71" xfId="2" applyNumberFormat="1" applyFont="1" applyBorder="1" applyAlignment="1" applyProtection="1">
      <alignment vertical="center"/>
      <protection hidden="1"/>
    </xf>
    <xf numFmtId="171" fontId="241" fillId="0" borderId="0" xfId="1" applyNumberFormat="1" applyFont="1" applyAlignment="1" applyProtection="1">
      <alignment vertical="center"/>
      <protection hidden="1"/>
    </xf>
    <xf numFmtId="166" fontId="240" fillId="0" borderId="18" xfId="1" applyFont="1" applyBorder="1" applyAlignment="1" applyProtection="1">
      <alignment vertical="center"/>
      <protection hidden="1"/>
    </xf>
    <xf numFmtId="166" fontId="240" fillId="0" borderId="59" xfId="1" applyFont="1" applyBorder="1" applyAlignment="1" applyProtection="1">
      <alignment vertical="center"/>
      <protection hidden="1"/>
    </xf>
    <xf numFmtId="166" fontId="240" fillId="0" borderId="58" xfId="1" applyFont="1" applyBorder="1" applyAlignment="1" applyProtection="1">
      <alignment vertical="center"/>
      <protection hidden="1"/>
    </xf>
    <xf numFmtId="166" fontId="244" fillId="0" borderId="0" xfId="1" applyFont="1" applyAlignment="1" applyProtection="1">
      <alignment horizontal="right" vertical="center"/>
      <protection hidden="1"/>
    </xf>
    <xf numFmtId="166" fontId="242" fillId="0" borderId="0" xfId="1" applyFont="1" applyAlignment="1" applyProtection="1">
      <alignment vertical="center"/>
      <protection hidden="1"/>
    </xf>
    <xf numFmtId="9" fontId="244" fillId="0" borderId="0" xfId="3" applyFont="1" applyAlignment="1" applyProtection="1">
      <alignment horizontal="center" vertical="center"/>
      <protection hidden="1"/>
    </xf>
    <xf numFmtId="0" fontId="241" fillId="0" borderId="0" xfId="1" applyNumberFormat="1" applyFont="1" applyAlignment="1" applyProtection="1">
      <alignment horizontal="right" vertical="center"/>
      <protection hidden="1"/>
    </xf>
    <xf numFmtId="9" fontId="240" fillId="0" borderId="0" xfId="3" applyFont="1" applyAlignment="1" applyProtection="1">
      <alignment horizontal="center" vertical="center"/>
      <protection hidden="1"/>
    </xf>
    <xf numFmtId="184" fontId="245" fillId="0" borderId="0" xfId="2" applyNumberFormat="1" applyFont="1" applyAlignment="1" applyProtection="1">
      <alignment vertical="center"/>
      <protection hidden="1"/>
    </xf>
    <xf numFmtId="166" fontId="240" fillId="5" borderId="0" xfId="1" applyFont="1" applyFill="1" applyAlignment="1" applyProtection="1">
      <alignment vertical="center"/>
      <protection locked="0"/>
    </xf>
    <xf numFmtId="0" fontId="241" fillId="5" borderId="0" xfId="1" applyNumberFormat="1" applyFont="1" applyFill="1" applyAlignment="1" applyProtection="1">
      <alignment horizontal="right" vertical="center"/>
      <protection locked="0"/>
    </xf>
    <xf numFmtId="9" fontId="240" fillId="5" borderId="0" xfId="3" applyFont="1" applyFill="1" applyAlignment="1" applyProtection="1">
      <alignment horizontal="center" vertical="center"/>
      <protection locked="0"/>
    </xf>
    <xf numFmtId="9" fontId="245" fillId="0" borderId="0" xfId="3" applyFont="1" applyAlignment="1" applyProtection="1">
      <alignment vertical="center"/>
      <protection hidden="1"/>
    </xf>
    <xf numFmtId="166" fontId="247" fillId="0" borderId="0" xfId="1" applyFont="1" applyAlignment="1" applyProtection="1">
      <alignment horizontal="right" vertical="center"/>
      <protection hidden="1"/>
    </xf>
    <xf numFmtId="171" fontId="247" fillId="5" borderId="0" xfId="1" applyNumberFormat="1" applyFont="1" applyFill="1" applyAlignment="1" applyProtection="1">
      <alignment vertical="center"/>
      <protection locked="0"/>
    </xf>
    <xf numFmtId="166" fontId="247" fillId="0" borderId="0" xfId="1" applyFont="1" applyAlignment="1" applyProtection="1">
      <alignment vertical="center"/>
      <protection hidden="1"/>
    </xf>
    <xf numFmtId="166" fontId="239" fillId="0" borderId="0" xfId="1" applyFont="1" applyAlignment="1" applyProtection="1">
      <alignment vertical="center"/>
      <protection hidden="1"/>
    </xf>
    <xf numFmtId="171" fontId="240" fillId="0" borderId="0" xfId="1" applyNumberFormat="1" applyFont="1" applyAlignment="1" applyProtection="1">
      <alignment vertical="center"/>
      <protection hidden="1"/>
    </xf>
    <xf numFmtId="166" fontId="248" fillId="0" borderId="53" xfId="1" applyFont="1" applyBorder="1" applyAlignment="1" applyProtection="1">
      <alignment horizontal="left" vertical="center"/>
      <protection hidden="1"/>
    </xf>
    <xf numFmtId="3" fontId="248" fillId="22" borderId="70" xfId="1" applyNumberFormat="1" applyFont="1" applyFill="1" applyBorder="1" applyAlignment="1" applyProtection="1">
      <alignment horizontal="center" vertical="center"/>
      <protection locked="0"/>
    </xf>
    <xf numFmtId="10" fontId="244" fillId="22" borderId="0" xfId="3" applyNumberFormat="1" applyFont="1" applyFill="1" applyAlignment="1" applyProtection="1">
      <alignment horizontal="center" vertical="center"/>
      <protection locked="0"/>
    </xf>
    <xf numFmtId="10" fontId="244" fillId="22" borderId="71" xfId="3" applyNumberFormat="1" applyFont="1" applyFill="1" applyBorder="1" applyAlignment="1" applyProtection="1">
      <alignment horizontal="center" vertical="center"/>
      <protection locked="0"/>
    </xf>
    <xf numFmtId="166" fontId="57" fillId="22" borderId="0" xfId="1" applyFont="1" applyFill="1" applyAlignment="1" applyProtection="1">
      <alignment vertical="center"/>
      <protection locked="0"/>
    </xf>
    <xf numFmtId="0" fontId="1" fillId="0" borderId="0" xfId="0" applyFont="1" applyAlignment="1">
      <alignment vertical="center"/>
    </xf>
    <xf numFmtId="166" fontId="6" fillId="0" borderId="0" xfId="1" applyFont="1" applyFill="1" applyProtection="1">
      <protection locked="0"/>
    </xf>
    <xf numFmtId="2" fontId="0" fillId="0" borderId="0" xfId="0" applyNumberFormat="1" applyFill="1" applyAlignment="1" applyProtection="1">
      <alignment vertical="center"/>
      <protection locked="0"/>
    </xf>
    <xf numFmtId="0" fontId="0" fillId="0" borderId="0" xfId="0" applyFill="1" applyProtection="1">
      <protection locked="0"/>
    </xf>
    <xf numFmtId="0" fontId="0" fillId="0" borderId="0" xfId="0" applyFill="1"/>
    <xf numFmtId="0" fontId="0" fillId="0" borderId="0" xfId="0" applyFill="1" applyProtection="1">
      <protection hidden="1"/>
    </xf>
    <xf numFmtId="0" fontId="0" fillId="0" borderId="0" xfId="0" applyProtection="1">
      <protection hidden="1"/>
    </xf>
    <xf numFmtId="0" fontId="1" fillId="31" borderId="0" xfId="0" applyFont="1" applyFill="1" applyAlignment="1" applyProtection="1">
      <alignment vertical="center"/>
      <protection hidden="1"/>
    </xf>
    <xf numFmtId="0" fontId="54" fillId="31" borderId="0" xfId="0" applyFont="1" applyFill="1" applyAlignment="1" applyProtection="1">
      <alignment horizontal="center"/>
      <protection hidden="1"/>
    </xf>
    <xf numFmtId="166" fontId="104" fillId="31" borderId="0" xfId="1" applyFill="1" applyProtection="1">
      <protection locked="0"/>
    </xf>
    <xf numFmtId="15" fontId="7" fillId="31" borderId="0" xfId="0" applyNumberFormat="1" applyFont="1" applyFill="1" applyAlignment="1" applyProtection="1">
      <alignment horizontal="center"/>
      <protection locked="0"/>
    </xf>
    <xf numFmtId="0" fontId="0" fillId="31" borderId="0" xfId="0" applyFill="1" applyProtection="1">
      <protection hidden="1"/>
    </xf>
    <xf numFmtId="0" fontId="1" fillId="31" borderId="0" xfId="0" applyFont="1" applyFill="1" applyProtection="1">
      <protection hidden="1"/>
    </xf>
    <xf numFmtId="166" fontId="1" fillId="31" borderId="0" xfId="1" applyFont="1" applyFill="1" applyProtection="1">
      <protection locked="0"/>
    </xf>
    <xf numFmtId="0" fontId="250" fillId="0" borderId="0" xfId="0" applyFont="1" applyProtection="1">
      <protection hidden="1"/>
    </xf>
    <xf numFmtId="0" fontId="252" fillId="0" borderId="0" xfId="0" applyFont="1" applyProtection="1">
      <protection hidden="1"/>
    </xf>
    <xf numFmtId="166" fontId="0" fillId="0" borderId="0" xfId="1" applyFont="1" applyAlignment="1" applyProtection="1">
      <alignment horizontal="left"/>
      <protection hidden="1"/>
    </xf>
    <xf numFmtId="166" fontId="20" fillId="0" borderId="0" xfId="1" applyFont="1" applyAlignment="1" applyProtection="1">
      <alignment horizontal="left"/>
      <protection hidden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 applyProtection="1">
      <alignment horizontal="left"/>
      <protection locked="0"/>
    </xf>
    <xf numFmtId="166" fontId="0" fillId="0" borderId="0" xfId="1" applyFont="1" applyFill="1" applyAlignment="1" applyProtection="1">
      <alignment horizontal="left"/>
      <protection hidden="1"/>
    </xf>
    <xf numFmtId="0" fontId="259" fillId="0" borderId="0" xfId="0" applyFont="1"/>
    <xf numFmtId="0" fontId="0" fillId="0" borderId="0" xfId="0" applyAlignment="1" applyProtection="1">
      <alignment horizontal="left"/>
      <protection hidden="1"/>
    </xf>
    <xf numFmtId="0" fontId="22" fillId="0" borderId="0" xfId="0" applyFont="1" applyFill="1" applyAlignment="1">
      <alignment horizontal="left"/>
    </xf>
    <xf numFmtId="0" fontId="22" fillId="32" borderId="0" xfId="0" applyFont="1" applyFill="1" applyAlignment="1">
      <alignment horizontal="left"/>
    </xf>
    <xf numFmtId="0" fontId="258" fillId="0" borderId="0" xfId="0" applyFont="1" applyFill="1" applyAlignment="1">
      <alignment horizontal="left"/>
    </xf>
    <xf numFmtId="0" fontId="0" fillId="0" borderId="0" xfId="0" applyFill="1" applyAlignment="1" applyProtection="1">
      <alignment horizontal="left"/>
      <protection hidden="1"/>
    </xf>
    <xf numFmtId="0" fontId="0" fillId="33" borderId="0" xfId="0" applyFill="1" applyProtection="1">
      <protection hidden="1"/>
    </xf>
    <xf numFmtId="0" fontId="253" fillId="0" borderId="0" xfId="0" applyFont="1" applyAlignment="1" applyProtection="1">
      <alignment horizontal="left"/>
      <protection hidden="1"/>
    </xf>
    <xf numFmtId="0" fontId="0" fillId="34" borderId="0" xfId="0" applyFill="1" applyProtection="1">
      <protection hidden="1"/>
    </xf>
    <xf numFmtId="0" fontId="254" fillId="0" borderId="0" xfId="0" applyFont="1" applyAlignment="1" applyProtection="1">
      <alignment horizontal="left"/>
      <protection hidden="1"/>
    </xf>
    <xf numFmtId="0" fontId="251" fillId="0" borderId="0" xfId="0" applyFont="1" applyFill="1" applyAlignment="1">
      <alignment horizontal="left"/>
    </xf>
    <xf numFmtId="0" fontId="0" fillId="35" borderId="0" xfId="0" applyFill="1" applyProtection="1">
      <protection hidden="1"/>
    </xf>
    <xf numFmtId="0" fontId="0" fillId="20" borderId="0" xfId="0" applyFill="1" applyProtection="1">
      <protection hidden="1"/>
    </xf>
    <xf numFmtId="0" fontId="249" fillId="0" borderId="0" xfId="0" applyFont="1" applyFill="1" applyAlignment="1">
      <alignment horizontal="left"/>
    </xf>
    <xf numFmtId="0" fontId="0" fillId="18" borderId="0" xfId="0" applyFill="1" applyProtection="1">
      <protection hidden="1"/>
    </xf>
    <xf numFmtId="0" fontId="255" fillId="0" borderId="0" xfId="0" applyFont="1" applyProtection="1">
      <protection hidden="1"/>
    </xf>
    <xf numFmtId="0" fontId="0" fillId="36" borderId="0" xfId="0" applyFill="1" applyProtection="1">
      <protection hidden="1"/>
    </xf>
    <xf numFmtId="0" fontId="0" fillId="30" borderId="0" xfId="0" applyFill="1" applyProtection="1">
      <protection hidden="1"/>
    </xf>
    <xf numFmtId="9" fontId="167" fillId="29" borderId="0" xfId="3" applyFont="1" applyFill="1" applyAlignment="1" applyProtection="1">
      <alignment horizontal="center"/>
      <protection hidden="1"/>
    </xf>
    <xf numFmtId="0" fontId="257" fillId="0" borderId="0" xfId="0" applyFont="1" applyProtection="1">
      <protection hidden="1"/>
    </xf>
    <xf numFmtId="9" fontId="167" fillId="32" borderId="0" xfId="3" applyFont="1" applyFill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11" fillId="0" borderId="118" xfId="0" applyFont="1" applyFill="1" applyBorder="1" applyAlignment="1" applyProtection="1">
      <alignment horizontal="center" vertical="center"/>
      <protection hidden="1"/>
    </xf>
    <xf numFmtId="0" fontId="12" fillId="0" borderId="19" xfId="0" applyFont="1" applyBorder="1" applyAlignment="1" applyProtection="1">
      <alignment vertical="center"/>
      <protection hidden="1"/>
    </xf>
    <xf numFmtId="0" fontId="12" fillId="0" borderId="58" xfId="0" applyFont="1" applyBorder="1" applyAlignment="1" applyProtection="1">
      <alignment vertical="center"/>
      <protection hidden="1"/>
    </xf>
    <xf numFmtId="167" fontId="0" fillId="0" borderId="56" xfId="2" applyNumberFormat="1" applyFont="1" applyBorder="1" applyAlignment="1" applyProtection="1">
      <alignment vertical="center"/>
      <protection hidden="1"/>
    </xf>
    <xf numFmtId="167" fontId="0" fillId="0" borderId="1" xfId="2" applyNumberFormat="1" applyFont="1" applyBorder="1" applyAlignment="1" applyProtection="1">
      <alignment vertical="center"/>
      <protection hidden="1"/>
    </xf>
    <xf numFmtId="2" fontId="11" fillId="0" borderId="59" xfId="0" applyNumberFormat="1" applyFont="1" applyBorder="1" applyAlignment="1" applyProtection="1">
      <alignment vertical="center"/>
      <protection hidden="1"/>
    </xf>
    <xf numFmtId="0" fontId="11" fillId="0" borderId="60" xfId="0" applyFont="1" applyBorder="1" applyAlignment="1" applyProtection="1">
      <alignment vertical="center"/>
      <protection locked="0" hidden="1"/>
    </xf>
    <xf numFmtId="0" fontId="0" fillId="0" borderId="67" xfId="0" applyFill="1" applyBorder="1" applyAlignment="1" applyProtection="1">
      <alignment vertical="center"/>
      <protection hidden="1"/>
    </xf>
    <xf numFmtId="2" fontId="0" fillId="0" borderId="54" xfId="0" applyNumberFormat="1" applyFill="1" applyBorder="1" applyAlignment="1" applyProtection="1">
      <alignment vertical="center"/>
      <protection hidden="1"/>
    </xf>
    <xf numFmtId="0" fontId="0" fillId="0" borderId="17" xfId="0" applyFill="1" applyBorder="1" applyAlignment="1" applyProtection="1">
      <alignment vertical="center"/>
      <protection locked="0" hidden="1"/>
    </xf>
    <xf numFmtId="0" fontId="1" fillId="0" borderId="23" xfId="0" applyFont="1" applyFill="1" applyBorder="1"/>
    <xf numFmtId="0" fontId="0" fillId="0" borderId="7" xfId="0" applyFill="1" applyBorder="1" applyAlignment="1" applyProtection="1">
      <alignment vertical="center"/>
      <protection hidden="1"/>
    </xf>
    <xf numFmtId="2" fontId="0" fillId="0" borderId="23" xfId="0" applyNumberFormat="1" applyFill="1" applyBorder="1" applyAlignment="1" applyProtection="1">
      <alignment vertical="center"/>
      <protection hidden="1"/>
    </xf>
    <xf numFmtId="0" fontId="0" fillId="0" borderId="79" xfId="0" applyFill="1" applyBorder="1" applyAlignment="1" applyProtection="1">
      <alignment vertical="center"/>
      <protection locked="0" hidden="1"/>
    </xf>
    <xf numFmtId="0" fontId="0" fillId="0" borderId="30" xfId="0" applyFill="1" applyBorder="1" applyAlignment="1" applyProtection="1">
      <alignment vertical="center"/>
      <protection hidden="1"/>
    </xf>
    <xf numFmtId="2" fontId="0" fillId="0" borderId="29" xfId="0" applyNumberFormat="1" applyFill="1" applyBorder="1" applyAlignment="1" applyProtection="1">
      <alignment vertical="center"/>
      <protection hidden="1"/>
    </xf>
    <xf numFmtId="0" fontId="0" fillId="0" borderId="81" xfId="0" applyFill="1" applyBorder="1" applyAlignment="1" applyProtection="1">
      <alignment vertical="center"/>
      <protection locked="0" hidden="1"/>
    </xf>
    <xf numFmtId="0" fontId="22" fillId="31" borderId="0" xfId="0" applyFont="1" applyFill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applyProtection="1">
      <protection hidden="1"/>
    </xf>
    <xf numFmtId="0" fontId="17" fillId="0" borderId="9" xfId="0" applyFont="1" applyBorder="1" applyAlignment="1" applyProtection="1">
      <alignment horizontal="center" vertical="center"/>
      <protection hidden="1"/>
    </xf>
    <xf numFmtId="0" fontId="7" fillId="0" borderId="9" xfId="0" applyFont="1" applyBorder="1" applyAlignment="1" applyProtection="1">
      <alignment horizontal="center" vertical="center"/>
      <protection hidden="1"/>
    </xf>
    <xf numFmtId="167" fontId="0" fillId="0" borderId="134" xfId="2" applyNumberFormat="1" applyFont="1" applyBorder="1" applyAlignment="1" applyProtection="1">
      <alignment vertical="center"/>
      <protection hidden="1"/>
    </xf>
    <xf numFmtId="167" fontId="0" fillId="0" borderId="2" xfId="2" applyNumberFormat="1" applyFont="1" applyBorder="1" applyAlignment="1" applyProtection="1">
      <alignment vertical="center"/>
      <protection hidden="1"/>
    </xf>
    <xf numFmtId="0" fontId="0" fillId="0" borderId="72" xfId="0" applyFill="1" applyBorder="1" applyAlignment="1" applyProtection="1">
      <alignment vertical="center"/>
      <protection hidden="1"/>
    </xf>
    <xf numFmtId="2" fontId="0" fillId="0" borderId="72" xfId="0" applyNumberFormat="1" applyFill="1" applyBorder="1" applyAlignment="1" applyProtection="1">
      <alignment vertical="center"/>
      <protection hidden="1"/>
    </xf>
    <xf numFmtId="166" fontId="6" fillId="0" borderId="72" xfId="1" applyFont="1" applyFill="1" applyBorder="1" applyAlignment="1" applyProtection="1">
      <alignment vertical="center"/>
      <protection locked="0" hidden="1"/>
    </xf>
    <xf numFmtId="167" fontId="0" fillId="0" borderId="23" xfId="2" applyNumberFormat="1" applyFont="1" applyFill="1" applyBorder="1" applyAlignment="1" applyProtection="1">
      <alignment vertical="center"/>
      <protection hidden="1"/>
    </xf>
    <xf numFmtId="168" fontId="0" fillId="0" borderId="79" xfId="1" applyNumberFormat="1" applyFont="1" applyFill="1" applyBorder="1" applyAlignment="1" applyProtection="1">
      <alignment horizontal="center" vertical="center"/>
      <protection hidden="1"/>
    </xf>
    <xf numFmtId="2" fontId="10" fillId="0" borderId="0" xfId="0" applyNumberFormat="1" applyFont="1" applyBorder="1" applyAlignment="1" applyProtection="1">
      <alignment horizontal="center" vertical="center"/>
      <protection hidden="1"/>
    </xf>
    <xf numFmtId="0" fontId="6" fillId="0" borderId="0" xfId="0" applyFont="1" applyBorder="1" applyAlignment="1" applyProtection="1">
      <alignment vertical="center"/>
      <protection hidden="1"/>
    </xf>
    <xf numFmtId="0" fontId="12" fillId="0" borderId="33" xfId="0" applyFont="1" applyBorder="1" applyAlignment="1" applyProtection="1">
      <alignment vertical="center"/>
      <protection hidden="1"/>
    </xf>
    <xf numFmtId="167" fontId="11" fillId="0" borderId="135" xfId="2" applyNumberFormat="1" applyFont="1" applyBorder="1" applyAlignment="1" applyProtection="1">
      <alignment vertical="center"/>
      <protection hidden="1"/>
    </xf>
    <xf numFmtId="0" fontId="0" fillId="0" borderId="67" xfId="0" applyFill="1" applyBorder="1" applyAlignment="1" applyProtection="1">
      <alignment vertical="center"/>
      <protection locked="0" hidden="1"/>
    </xf>
    <xf numFmtId="0" fontId="0" fillId="0" borderId="7" xfId="0" applyFill="1" applyBorder="1" applyAlignment="1" applyProtection="1">
      <alignment vertical="center"/>
      <protection locked="0" hidden="1"/>
    </xf>
    <xf numFmtId="167" fontId="0" fillId="0" borderId="112" xfId="2" applyNumberFormat="1" applyFont="1" applyBorder="1" applyProtection="1">
      <protection hidden="1"/>
    </xf>
    <xf numFmtId="168" fontId="0" fillId="0" borderId="82" xfId="1" applyNumberFormat="1" applyFont="1" applyBorder="1" applyAlignment="1" applyProtection="1">
      <alignment horizontal="center"/>
      <protection hidden="1"/>
    </xf>
    <xf numFmtId="0" fontId="3" fillId="0" borderId="112" xfId="0" applyFont="1" applyBorder="1" applyProtection="1">
      <protection hidden="1"/>
    </xf>
    <xf numFmtId="166" fontId="0" fillId="0" borderId="51" xfId="1" applyFont="1" applyBorder="1" applyProtection="1">
      <protection hidden="1"/>
    </xf>
    <xf numFmtId="0" fontId="3" fillId="0" borderId="71" xfId="0" applyFont="1" applyBorder="1" applyProtection="1">
      <protection hidden="1"/>
    </xf>
    <xf numFmtId="2" fontId="0" fillId="0" borderId="0" xfId="0" applyNumberFormat="1" applyBorder="1" applyProtection="1">
      <protection hidden="1"/>
    </xf>
    <xf numFmtId="0" fontId="0" fillId="0" borderId="117" xfId="0" applyBorder="1" applyProtection="1">
      <protection locked="0" hidden="1"/>
    </xf>
    <xf numFmtId="166" fontId="0" fillId="0" borderId="79" xfId="1" applyNumberFormat="1" applyFont="1" applyBorder="1" applyAlignment="1" applyProtection="1">
      <alignment horizontal="center"/>
      <protection hidden="1"/>
    </xf>
    <xf numFmtId="166" fontId="11" fillId="0" borderId="81" xfId="1" applyNumberFormat="1" applyFont="1" applyBorder="1" applyAlignment="1" applyProtection="1">
      <alignment horizontal="center"/>
      <protection hidden="1"/>
    </xf>
    <xf numFmtId="166" fontId="0" fillId="0" borderId="17" xfId="1" applyNumberFormat="1" applyFont="1" applyBorder="1" applyAlignment="1" applyProtection="1">
      <alignment horizontal="center"/>
      <protection hidden="1"/>
    </xf>
    <xf numFmtId="166" fontId="0" fillId="0" borderId="78" xfId="1" applyNumberFormat="1" applyFont="1" applyBorder="1" applyAlignment="1" applyProtection="1">
      <alignment horizontal="center"/>
      <protection hidden="1"/>
    </xf>
    <xf numFmtId="166" fontId="11" fillId="0" borderId="79" xfId="1" applyNumberFormat="1" applyFont="1" applyBorder="1" applyAlignment="1" applyProtection="1">
      <alignment horizontal="center"/>
      <protection hidden="1"/>
    </xf>
    <xf numFmtId="166" fontId="0" fillId="0" borderId="31" xfId="1" applyNumberFormat="1" applyFont="1" applyBorder="1" applyAlignment="1" applyProtection="1">
      <alignment horizontal="center"/>
      <protection hidden="1"/>
    </xf>
    <xf numFmtId="166" fontId="0" fillId="0" borderId="82" xfId="1" applyNumberFormat="1" applyFont="1" applyBorder="1" applyAlignment="1" applyProtection="1">
      <alignment horizontal="center"/>
      <protection hidden="1"/>
    </xf>
    <xf numFmtId="0" fontId="0" fillId="0" borderId="9" xfId="0" applyBorder="1" applyAlignment="1" applyProtection="1">
      <alignment vertical="center"/>
      <protection hidden="1"/>
    </xf>
    <xf numFmtId="0" fontId="0" fillId="0" borderId="78" xfId="0" applyFill="1" applyBorder="1" applyAlignment="1" applyProtection="1">
      <alignment vertical="center"/>
      <protection locked="0" hidden="1"/>
    </xf>
    <xf numFmtId="0" fontId="0" fillId="0" borderId="110" xfId="0" applyBorder="1" applyAlignment="1" applyProtection="1">
      <alignment vertical="center"/>
      <protection hidden="1"/>
    </xf>
    <xf numFmtId="0" fontId="0" fillId="0" borderId="111" xfId="0" applyBorder="1" applyAlignment="1" applyProtection="1">
      <alignment vertical="center"/>
      <protection hidden="1"/>
    </xf>
    <xf numFmtId="0" fontId="0" fillId="0" borderId="35" xfId="0" applyBorder="1" applyAlignment="1" applyProtection="1">
      <alignment vertical="center"/>
      <protection hidden="1"/>
    </xf>
    <xf numFmtId="0" fontId="0" fillId="0" borderId="129" xfId="0" applyFill="1" applyBorder="1" applyAlignment="1" applyProtection="1">
      <alignment vertical="center"/>
      <protection locked="0" hidden="1"/>
    </xf>
    <xf numFmtId="167" fontId="0" fillId="0" borderId="87" xfId="2" applyNumberFormat="1" applyFont="1" applyBorder="1" applyAlignment="1" applyProtection="1">
      <alignment vertical="center"/>
      <protection hidden="1"/>
    </xf>
    <xf numFmtId="0" fontId="11" fillId="0" borderId="110" xfId="0" applyFont="1" applyBorder="1" applyAlignment="1" applyProtection="1">
      <alignment horizontal="center" vertical="center"/>
      <protection hidden="1"/>
    </xf>
    <xf numFmtId="0" fontId="12" fillId="0" borderId="107" xfId="0" applyFont="1" applyBorder="1" applyAlignment="1" applyProtection="1">
      <alignment vertical="center"/>
      <protection hidden="1"/>
    </xf>
    <xf numFmtId="0" fontId="11" fillId="0" borderId="136" xfId="0" applyFont="1" applyBorder="1" applyAlignment="1" applyProtection="1">
      <alignment vertical="center"/>
      <protection locked="0" hidden="1"/>
    </xf>
    <xf numFmtId="168" fontId="11" fillId="0" borderId="35" xfId="1" applyNumberFormat="1" applyFont="1" applyBorder="1" applyAlignment="1" applyProtection="1">
      <alignment horizontal="center" vertical="center"/>
      <protection hidden="1"/>
    </xf>
    <xf numFmtId="0" fontId="0" fillId="0" borderId="84" xfId="0" applyFill="1" applyBorder="1" applyAlignment="1" applyProtection="1">
      <alignment vertical="center"/>
      <protection hidden="1"/>
    </xf>
    <xf numFmtId="0" fontId="12" fillId="0" borderId="21" xfId="0" applyFont="1" applyBorder="1" applyAlignment="1" applyProtection="1">
      <alignment vertical="center"/>
      <protection hidden="1"/>
    </xf>
    <xf numFmtId="0" fontId="0" fillId="0" borderId="107" xfId="0" applyBorder="1" applyAlignment="1" applyProtection="1">
      <alignment vertical="center"/>
      <protection hidden="1"/>
    </xf>
    <xf numFmtId="0" fontId="0" fillId="0" borderId="5" xfId="0" applyFill="1" applyBorder="1" applyAlignment="1" applyProtection="1">
      <alignment vertical="center"/>
      <protection hidden="1"/>
    </xf>
    <xf numFmtId="167" fontId="11" fillId="0" borderId="48" xfId="2" applyNumberFormat="1" applyFont="1" applyBorder="1" applyAlignment="1" applyProtection="1">
      <alignment vertical="center"/>
      <protection hidden="1"/>
    </xf>
    <xf numFmtId="0" fontId="0" fillId="0" borderId="48" xfId="0" applyBorder="1" applyAlignment="1" applyProtection="1">
      <alignment vertical="center"/>
      <protection hidden="1"/>
    </xf>
    <xf numFmtId="167" fontId="0" fillId="0" borderId="6" xfId="2" applyNumberFormat="1" applyFont="1" applyBorder="1" applyAlignment="1" applyProtection="1">
      <alignment vertical="center"/>
      <protection hidden="1"/>
    </xf>
    <xf numFmtId="2" fontId="0" fillId="0" borderId="113" xfId="0" applyNumberFormat="1" applyFill="1" applyBorder="1" applyAlignment="1" applyProtection="1">
      <alignment vertical="center"/>
      <protection hidden="1"/>
    </xf>
    <xf numFmtId="2" fontId="11" fillId="0" borderId="22" xfId="0" applyNumberFormat="1" applyFont="1" applyBorder="1" applyProtection="1">
      <protection hidden="1"/>
    </xf>
    <xf numFmtId="2" fontId="0" fillId="0" borderId="28" xfId="0" applyNumberFormat="1" applyFill="1" applyBorder="1" applyAlignment="1" applyProtection="1">
      <alignment vertical="center"/>
      <protection hidden="1"/>
    </xf>
    <xf numFmtId="2" fontId="0" fillId="0" borderId="2" xfId="0" applyNumberFormat="1" applyFill="1" applyBorder="1" applyAlignment="1" applyProtection="1">
      <alignment vertical="center"/>
      <protection hidden="1"/>
    </xf>
    <xf numFmtId="0" fontId="1" fillId="0" borderId="112" xfId="0" applyFont="1" applyBorder="1" applyProtection="1">
      <protection hidden="1"/>
    </xf>
    <xf numFmtId="0" fontId="1" fillId="0" borderId="71" xfId="0" applyFont="1" applyBorder="1" applyProtection="1">
      <protection hidden="1"/>
    </xf>
    <xf numFmtId="0" fontId="0" fillId="0" borderId="79" xfId="0" applyFill="1" applyBorder="1" applyAlignment="1" applyProtection="1">
      <alignment vertical="center"/>
      <protection hidden="1"/>
    </xf>
    <xf numFmtId="0" fontId="259" fillId="0" borderId="0" xfId="0" applyFont="1" applyFill="1"/>
    <xf numFmtId="0" fontId="54" fillId="0" borderId="0" xfId="0" applyFont="1" applyFill="1" applyAlignment="1" applyProtection="1">
      <alignment horizontal="center"/>
      <protection hidden="1"/>
    </xf>
    <xf numFmtId="0" fontId="22" fillId="0" borderId="0" xfId="0" applyFont="1" applyFill="1" applyAlignment="1" applyProtection="1">
      <alignment horizontal="center"/>
      <protection hidden="1"/>
    </xf>
    <xf numFmtId="169" fontId="40" fillId="0" borderId="0" xfId="2" applyFont="1" applyBorder="1" applyAlignment="1">
      <alignment vertical="center"/>
    </xf>
    <xf numFmtId="0" fontId="85" fillId="0" borderId="0" xfId="0" applyFont="1" applyBorder="1" applyAlignment="1" applyProtection="1">
      <alignment horizontal="center" vertical="center"/>
      <protection hidden="1"/>
    </xf>
    <xf numFmtId="0" fontId="44" fillId="0" borderId="0" xfId="0" applyFont="1" applyBorder="1" applyAlignment="1" applyProtection="1">
      <alignment horizontal="center" vertical="center"/>
      <protection hidden="1"/>
    </xf>
    <xf numFmtId="171" fontId="56" fillId="0" borderId="0" xfId="1" applyNumberFormat="1" applyFont="1" applyBorder="1" applyAlignment="1" applyProtection="1">
      <alignment vertical="center"/>
      <protection hidden="1"/>
    </xf>
    <xf numFmtId="166" fontId="128" fillId="0" borderId="0" xfId="0" applyNumberFormat="1" applyFont="1" applyBorder="1" applyAlignment="1" applyProtection="1">
      <alignment vertical="center"/>
      <protection hidden="1"/>
    </xf>
    <xf numFmtId="171" fontId="105" fillId="0" borderId="0" xfId="1" applyNumberFormat="1" applyFont="1" applyBorder="1" applyAlignment="1" applyProtection="1">
      <alignment horizontal="center" vertical="center"/>
      <protection hidden="1"/>
    </xf>
    <xf numFmtId="174" fontId="41" fillId="0" borderId="0" xfId="1" applyNumberFormat="1" applyFont="1" applyBorder="1" applyAlignment="1" applyProtection="1">
      <alignment horizontal="center" vertical="center"/>
      <protection hidden="1"/>
    </xf>
    <xf numFmtId="174" fontId="42" fillId="0" borderId="0" xfId="1" applyNumberFormat="1" applyFont="1" applyBorder="1" applyAlignment="1" applyProtection="1">
      <alignment horizontal="center" vertical="center"/>
      <protection hidden="1"/>
    </xf>
    <xf numFmtId="174" fontId="30" fillId="0" borderId="0" xfId="1" applyNumberFormat="1" applyFont="1" applyBorder="1" applyAlignment="1" applyProtection="1">
      <alignment horizontal="center" vertical="center"/>
      <protection hidden="1"/>
    </xf>
    <xf numFmtId="0" fontId="41" fillId="0" borderId="0" xfId="0" applyFont="1" applyBorder="1" applyAlignment="1" applyProtection="1">
      <alignment vertical="center"/>
      <protection hidden="1"/>
    </xf>
    <xf numFmtId="174" fontId="106" fillId="8" borderId="0" xfId="1" applyNumberFormat="1" applyFont="1" applyFill="1" applyBorder="1" applyAlignment="1" applyProtection="1">
      <alignment horizontal="center" vertical="center"/>
      <protection hidden="1"/>
    </xf>
    <xf numFmtId="0" fontId="190" fillId="37" borderId="21" xfId="0" applyFont="1" applyFill="1" applyBorder="1" applyAlignment="1" applyProtection="1">
      <alignment horizontal="center" vertical="center"/>
      <protection hidden="1"/>
    </xf>
    <xf numFmtId="0" fontId="11" fillId="0" borderId="113" xfId="0" applyFont="1" applyBorder="1" applyAlignment="1" applyProtection="1">
      <alignment horizontal="center"/>
      <protection hidden="1"/>
    </xf>
    <xf numFmtId="2" fontId="11" fillId="0" borderId="85" xfId="0" applyNumberFormat="1" applyFont="1" applyBorder="1" applyAlignment="1" applyProtection="1">
      <alignment horizontal="center" vertical="center"/>
      <protection hidden="1"/>
    </xf>
    <xf numFmtId="0" fontId="11" fillId="0" borderId="112" xfId="0" applyFont="1" applyBorder="1" applyAlignment="1" applyProtection="1">
      <alignment horizontal="center"/>
      <protection hidden="1"/>
    </xf>
    <xf numFmtId="2" fontId="11" fillId="0" borderId="0" xfId="0" applyNumberFormat="1" applyFont="1" applyBorder="1" applyAlignment="1" applyProtection="1">
      <alignment horizontal="center" vertical="center"/>
      <protection hidden="1"/>
    </xf>
    <xf numFmtId="0" fontId="11" fillId="0" borderId="71" xfId="0" applyFont="1" applyBorder="1" applyAlignment="1" applyProtection="1">
      <alignment horizontal="center" vertical="center"/>
      <protection locked="0" hidden="1"/>
    </xf>
    <xf numFmtId="0" fontId="12" fillId="0" borderId="84" xfId="0" applyFont="1" applyBorder="1" applyAlignment="1" applyProtection="1">
      <alignment vertical="center"/>
      <protection hidden="1"/>
    </xf>
    <xf numFmtId="0" fontId="12" fillId="0" borderId="114" xfId="0" applyFont="1" applyBorder="1" applyAlignment="1" applyProtection="1">
      <alignment vertical="center"/>
      <protection hidden="1"/>
    </xf>
    <xf numFmtId="0" fontId="11" fillId="0" borderId="137" xfId="0" applyFont="1" applyBorder="1" applyAlignment="1" applyProtection="1">
      <alignment horizontal="center" vertical="center"/>
      <protection locked="0" hidden="1"/>
    </xf>
    <xf numFmtId="167" fontId="11" fillId="0" borderId="113" xfId="2" applyNumberFormat="1" applyFont="1" applyBorder="1" applyAlignment="1" applyProtection="1">
      <alignment vertical="center"/>
      <protection hidden="1"/>
    </xf>
    <xf numFmtId="168" fontId="11" fillId="0" borderId="129" xfId="1" applyNumberFormat="1" applyFont="1" applyBorder="1" applyAlignment="1" applyProtection="1">
      <alignment horizontal="center" vertical="center"/>
      <protection hidden="1"/>
    </xf>
    <xf numFmtId="0" fontId="0" fillId="0" borderId="72" xfId="0" applyBorder="1" applyAlignment="1" applyProtection="1">
      <alignment vertical="center"/>
      <protection hidden="1"/>
    </xf>
    <xf numFmtId="2" fontId="0" fillId="0" borderId="72" xfId="0" applyNumberFormat="1" applyBorder="1" applyAlignment="1" applyProtection="1">
      <alignment horizontal="center" vertical="center"/>
      <protection hidden="1"/>
    </xf>
    <xf numFmtId="0" fontId="0" fillId="0" borderId="72" xfId="0" applyBorder="1" applyAlignment="1" applyProtection="1">
      <alignment horizontal="center" vertical="center"/>
      <protection locked="0" hidden="1"/>
    </xf>
    <xf numFmtId="167" fontId="0" fillId="0" borderId="72" xfId="2" applyNumberFormat="1" applyFont="1" applyBorder="1" applyAlignment="1" applyProtection="1">
      <alignment vertical="center"/>
      <protection hidden="1"/>
    </xf>
    <xf numFmtId="0" fontId="0" fillId="0" borderId="72" xfId="0" applyFill="1" applyBorder="1" applyAlignment="1" applyProtection="1">
      <alignment vertical="center"/>
      <protection locked="0" hidden="1"/>
    </xf>
    <xf numFmtId="167" fontId="11" fillId="0" borderId="72" xfId="2" applyNumberFormat="1" applyFont="1" applyBorder="1" applyAlignment="1" applyProtection="1">
      <alignment vertical="center"/>
      <protection hidden="1"/>
    </xf>
    <xf numFmtId="0" fontId="0" fillId="0" borderId="76" xfId="0" applyBorder="1" applyAlignment="1" applyProtection="1">
      <alignment vertical="center"/>
      <protection hidden="1"/>
    </xf>
    <xf numFmtId="2" fontId="0" fillId="0" borderId="76" xfId="0" applyNumberFormat="1" applyBorder="1" applyAlignment="1" applyProtection="1">
      <alignment horizontal="center" vertical="center"/>
      <protection hidden="1"/>
    </xf>
    <xf numFmtId="0" fontId="0" fillId="0" borderId="76" xfId="0" applyBorder="1" applyAlignment="1" applyProtection="1">
      <alignment horizontal="center" vertical="center"/>
      <protection locked="0" hidden="1"/>
    </xf>
    <xf numFmtId="167" fontId="0" fillId="0" borderId="76" xfId="2" applyNumberFormat="1" applyFont="1" applyBorder="1" applyAlignment="1" applyProtection="1">
      <alignment vertical="center"/>
      <protection hidden="1"/>
    </xf>
    <xf numFmtId="0" fontId="0" fillId="0" borderId="80" xfId="0" applyBorder="1" applyAlignment="1" applyProtection="1">
      <alignment vertical="center"/>
      <protection hidden="1"/>
    </xf>
    <xf numFmtId="2" fontId="11" fillId="0" borderId="80" xfId="0" applyNumberFormat="1" applyFont="1" applyBorder="1" applyAlignment="1" applyProtection="1">
      <alignment horizontal="center" vertical="center"/>
      <protection hidden="1"/>
    </xf>
    <xf numFmtId="0" fontId="11" fillId="0" borderId="80" xfId="0" applyFont="1" applyBorder="1" applyAlignment="1" applyProtection="1">
      <alignment horizontal="center" vertical="center"/>
      <protection locked="0" hidden="1"/>
    </xf>
    <xf numFmtId="167" fontId="0" fillId="0" borderId="80" xfId="2" applyNumberFormat="1" applyFont="1" applyBorder="1" applyAlignment="1" applyProtection="1">
      <alignment vertical="center"/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0" fillId="0" borderId="0" xfId="0" applyFill="1" applyBorder="1" applyAlignment="1" applyProtection="1">
      <alignment horizontal="center" vertical="center"/>
      <protection hidden="1"/>
    </xf>
    <xf numFmtId="166" fontId="6" fillId="0" borderId="80" xfId="1" applyFont="1" applyFill="1" applyBorder="1" applyAlignment="1" applyProtection="1">
      <alignment vertical="center"/>
      <protection locked="0" hidden="1"/>
    </xf>
    <xf numFmtId="0" fontId="11" fillId="0" borderId="31" xfId="0" applyFont="1" applyFill="1" applyBorder="1" applyAlignment="1" applyProtection="1">
      <alignment horizontal="center" vertical="center"/>
      <protection locked="0" hidden="1"/>
    </xf>
    <xf numFmtId="167" fontId="11" fillId="0" borderId="72" xfId="2" applyNumberFormat="1" applyFont="1" applyFill="1" applyBorder="1" applyAlignment="1" applyProtection="1">
      <alignment vertical="center"/>
      <protection hidden="1"/>
    </xf>
    <xf numFmtId="168" fontId="11" fillId="0" borderId="79" xfId="1" applyNumberFormat="1" applyFont="1" applyFill="1" applyBorder="1" applyAlignment="1" applyProtection="1">
      <alignment horizontal="center" vertical="center"/>
      <protection hidden="1"/>
    </xf>
    <xf numFmtId="0" fontId="6" fillId="0" borderId="80" xfId="0" applyFont="1" applyFill="1" applyBorder="1" applyAlignment="1" applyProtection="1">
      <alignment vertical="center"/>
      <protection hidden="1"/>
    </xf>
    <xf numFmtId="2" fontId="6" fillId="0" borderId="80" xfId="0" applyNumberFormat="1" applyFont="1" applyFill="1" applyBorder="1" applyAlignment="1" applyProtection="1">
      <alignment vertical="center"/>
      <protection hidden="1"/>
    </xf>
    <xf numFmtId="0" fontId="6" fillId="0" borderId="72" xfId="0" applyFont="1" applyFill="1" applyBorder="1" applyAlignment="1" applyProtection="1">
      <alignment vertical="center"/>
      <protection locked="0" hidden="1"/>
    </xf>
    <xf numFmtId="188" fontId="104" fillId="0" borderId="0" xfId="2" applyNumberFormat="1"/>
    <xf numFmtId="2" fontId="84" fillId="0" borderId="0" xfId="0" applyNumberFormat="1" applyFont="1" applyAlignment="1" applyProtection="1">
      <alignment horizontal="center" vertical="center"/>
      <protection hidden="1"/>
    </xf>
    <xf numFmtId="0" fontId="65" fillId="37" borderId="15" xfId="0" applyFont="1" applyFill="1" applyBorder="1" applyAlignment="1" applyProtection="1">
      <alignment horizontal="left" vertical="center"/>
      <protection hidden="1"/>
    </xf>
    <xf numFmtId="0" fontId="190" fillId="37" borderId="15" xfId="0" applyFont="1" applyFill="1" applyBorder="1" applyAlignment="1" applyProtection="1">
      <alignment horizontal="center" vertical="center"/>
      <protection hidden="1"/>
    </xf>
    <xf numFmtId="0" fontId="236" fillId="37" borderId="15" xfId="0" applyFont="1" applyFill="1" applyBorder="1" applyAlignment="1" applyProtection="1">
      <alignment horizontal="center" vertical="center"/>
      <protection hidden="1"/>
    </xf>
    <xf numFmtId="171" fontId="40" fillId="0" borderId="86" xfId="1" applyNumberFormat="1" applyFont="1" applyBorder="1" applyAlignment="1" applyProtection="1">
      <alignment vertical="center"/>
      <protection hidden="1"/>
    </xf>
    <xf numFmtId="171" fontId="56" fillId="0" borderId="116" xfId="1" applyNumberFormat="1" applyFont="1" applyBorder="1" applyAlignment="1" applyProtection="1">
      <alignment vertical="center"/>
      <protection hidden="1"/>
    </xf>
    <xf numFmtId="171" fontId="56" fillId="0" borderId="51" xfId="1" applyNumberFormat="1" applyFont="1" applyBorder="1" applyAlignment="1" applyProtection="1">
      <alignment vertical="center"/>
      <protection hidden="1"/>
    </xf>
    <xf numFmtId="166" fontId="128" fillId="0" borderId="5" xfId="0" applyNumberFormat="1" applyFont="1" applyBorder="1" applyAlignment="1" applyProtection="1">
      <alignment vertical="center"/>
      <protection hidden="1"/>
    </xf>
    <xf numFmtId="171" fontId="40" fillId="0" borderId="112" xfId="1" applyNumberFormat="1" applyFont="1" applyBorder="1" applyAlignment="1" applyProtection="1">
      <alignment vertical="center"/>
      <protection hidden="1"/>
    </xf>
    <xf numFmtId="166" fontId="128" fillId="0" borderId="77" xfId="1" applyFont="1" applyBorder="1" applyAlignment="1" applyProtection="1">
      <alignment vertical="center"/>
      <protection hidden="1"/>
    </xf>
    <xf numFmtId="166" fontId="40" fillId="0" borderId="116" xfId="1" applyFont="1" applyBorder="1" applyAlignment="1" applyProtection="1">
      <alignment vertical="center"/>
      <protection hidden="1"/>
    </xf>
    <xf numFmtId="0" fontId="44" fillId="22" borderId="85" xfId="0" applyFont="1" applyFill="1" applyBorder="1" applyAlignment="1" applyProtection="1">
      <alignment horizontal="center" vertical="center"/>
      <protection locked="0" hidden="1"/>
    </xf>
    <xf numFmtId="0" fontId="44" fillId="22" borderId="6" xfId="0" applyFont="1" applyFill="1" applyBorder="1" applyAlignment="1" applyProtection="1">
      <alignment horizontal="center" vertical="center"/>
      <protection locked="0" hidden="1"/>
    </xf>
    <xf numFmtId="166" fontId="40" fillId="0" borderId="51" xfId="1" applyFont="1" applyBorder="1" applyAlignment="1" applyProtection="1">
      <alignment vertical="center"/>
      <protection hidden="1"/>
    </xf>
    <xf numFmtId="0" fontId="44" fillId="0" borderId="77" xfId="0" applyFont="1" applyBorder="1" applyAlignment="1" applyProtection="1">
      <alignment horizontal="center" vertical="center"/>
      <protection hidden="1"/>
    </xf>
    <xf numFmtId="171" fontId="130" fillId="0" borderId="0" xfId="1" applyNumberFormat="1" applyFont="1" applyAlignment="1" applyProtection="1">
      <alignment horizontal="center" vertical="center"/>
      <protection hidden="1"/>
    </xf>
    <xf numFmtId="0" fontId="44" fillId="22" borderId="86" xfId="0" applyFont="1" applyFill="1" applyBorder="1" applyAlignment="1" applyProtection="1">
      <alignment horizontal="center" vertical="center"/>
      <protection locked="0" hidden="1"/>
    </xf>
    <xf numFmtId="1" fontId="85" fillId="0" borderId="85" xfId="0" applyNumberFormat="1" applyFont="1" applyBorder="1" applyAlignment="1" applyProtection="1">
      <alignment horizontal="center" vertical="center"/>
      <protection hidden="1"/>
    </xf>
    <xf numFmtId="1" fontId="85" fillId="0" borderId="6" xfId="0" applyNumberFormat="1" applyFont="1" applyBorder="1" applyAlignment="1" applyProtection="1">
      <alignment horizontal="center" vertical="center"/>
      <protection hidden="1"/>
    </xf>
    <xf numFmtId="0" fontId="44" fillId="22" borderId="116" xfId="0" applyFont="1" applyFill="1" applyBorder="1" applyAlignment="1" applyProtection="1">
      <alignment horizontal="center" vertical="center"/>
      <protection locked="0" hidden="1"/>
    </xf>
    <xf numFmtId="0" fontId="85" fillId="0" borderId="77" xfId="0" applyFont="1" applyBorder="1" applyAlignment="1" applyProtection="1">
      <alignment horizontal="center" vertical="center"/>
      <protection hidden="1"/>
    </xf>
    <xf numFmtId="1" fontId="85" fillId="0" borderId="86" xfId="0" applyNumberFormat="1" applyFont="1" applyBorder="1" applyAlignment="1" applyProtection="1">
      <alignment horizontal="center" vertical="center"/>
      <protection hidden="1"/>
    </xf>
    <xf numFmtId="169" fontId="31" fillId="0" borderId="87" xfId="2" applyFont="1" applyBorder="1" applyAlignment="1">
      <alignment vertical="center"/>
    </xf>
    <xf numFmtId="1" fontId="85" fillId="0" borderId="116" xfId="0" applyNumberFormat="1" applyFont="1" applyBorder="1" applyAlignment="1" applyProtection="1">
      <alignment horizontal="center" vertical="center"/>
      <protection hidden="1"/>
    </xf>
    <xf numFmtId="169" fontId="40" fillId="0" borderId="73" xfId="2" applyFont="1" applyBorder="1" applyAlignment="1">
      <alignment vertical="center"/>
    </xf>
    <xf numFmtId="171" fontId="104" fillId="0" borderId="0" xfId="1" applyNumberFormat="1"/>
    <xf numFmtId="9" fontId="18" fillId="0" borderId="0" xfId="3" applyFont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17" fillId="0" borderId="9" xfId="0" applyFont="1" applyBorder="1" applyAlignment="1" applyProtection="1">
      <alignment horizontal="center" vertical="center"/>
      <protection hidden="1"/>
    </xf>
    <xf numFmtId="0" fontId="261" fillId="0" borderId="9" xfId="0" applyFont="1" applyBorder="1" applyAlignment="1" applyProtection="1">
      <alignment vertical="center"/>
      <protection hidden="1"/>
    </xf>
    <xf numFmtId="0" fontId="9" fillId="37" borderId="22" xfId="0" applyFont="1" applyFill="1" applyBorder="1" applyAlignment="1" applyProtection="1">
      <alignment horizontal="center" vertical="center"/>
      <protection hidden="1"/>
    </xf>
    <xf numFmtId="0" fontId="27" fillId="37" borderId="21" xfId="0" applyFont="1" applyFill="1" applyBorder="1" applyAlignment="1" applyProtection="1">
      <alignment vertical="center"/>
      <protection hidden="1"/>
    </xf>
    <xf numFmtId="173" fontId="9" fillId="37" borderId="21" xfId="1" applyNumberFormat="1" applyFont="1" applyFill="1" applyBorder="1" applyAlignment="1" applyProtection="1">
      <alignment vertical="center"/>
      <protection hidden="1"/>
    </xf>
    <xf numFmtId="9" fontId="9" fillId="37" borderId="21" xfId="3" applyFont="1" applyFill="1" applyBorder="1" applyAlignment="1" applyProtection="1">
      <alignment horizontal="center" vertical="center"/>
      <protection locked="0" hidden="1"/>
    </xf>
    <xf numFmtId="167" fontId="9" fillId="37" borderId="21" xfId="2" applyNumberFormat="1" applyFont="1" applyFill="1" applyBorder="1" applyAlignment="1" applyProtection="1">
      <alignment vertical="center"/>
      <protection hidden="1"/>
    </xf>
    <xf numFmtId="168" fontId="9" fillId="37" borderId="20" xfId="1" applyNumberFormat="1" applyFont="1" applyFill="1" applyBorder="1" applyAlignment="1" applyProtection="1">
      <alignment horizontal="center" vertical="center"/>
      <protection hidden="1"/>
    </xf>
    <xf numFmtId="0" fontId="38" fillId="37" borderId="21" xfId="0" applyFont="1" applyFill="1" applyBorder="1" applyAlignment="1" applyProtection="1">
      <alignment vertical="center"/>
      <protection hidden="1"/>
    </xf>
    <xf numFmtId="0" fontId="189" fillId="38" borderId="21" xfId="0" applyFont="1" applyFill="1" applyBorder="1" applyAlignment="1" applyProtection="1">
      <alignment horizontal="center" vertical="center"/>
      <protection hidden="1"/>
    </xf>
    <xf numFmtId="0" fontId="8" fillId="38" borderId="22" xfId="0" applyFont="1" applyFill="1" applyBorder="1" applyAlignment="1" applyProtection="1">
      <alignment horizontal="center"/>
      <protection hidden="1"/>
    </xf>
    <xf numFmtId="0" fontId="29" fillId="38" borderId="21" xfId="0" applyFont="1" applyFill="1" applyBorder="1" applyProtection="1">
      <protection hidden="1"/>
    </xf>
    <xf numFmtId="173" fontId="8" fillId="38" borderId="21" xfId="1" applyNumberFormat="1" applyFont="1" applyFill="1" applyBorder="1" applyProtection="1">
      <protection hidden="1"/>
    </xf>
    <xf numFmtId="9" fontId="8" fillId="38" borderId="48" xfId="3" applyFont="1" applyFill="1" applyBorder="1" applyAlignment="1" applyProtection="1">
      <alignment horizontal="center"/>
      <protection locked="0" hidden="1"/>
    </xf>
    <xf numFmtId="167" fontId="8" fillId="38" borderId="21" xfId="2" applyNumberFormat="1" applyFont="1" applyFill="1" applyBorder="1" applyProtection="1">
      <protection hidden="1"/>
    </xf>
    <xf numFmtId="166" fontId="8" fillId="38" borderId="20" xfId="1" applyNumberFormat="1" applyFont="1" applyFill="1" applyBorder="1" applyProtection="1">
      <protection hidden="1"/>
    </xf>
    <xf numFmtId="166" fontId="6" fillId="39" borderId="76" xfId="1" applyFont="1" applyFill="1" applyBorder="1" applyAlignment="1" applyProtection="1">
      <alignment vertical="center"/>
      <protection locked="0" hidden="1"/>
    </xf>
    <xf numFmtId="166" fontId="6" fillId="39" borderId="72" xfId="1" applyFont="1" applyFill="1" applyBorder="1" applyAlignment="1" applyProtection="1">
      <alignment vertical="center"/>
      <protection locked="0" hidden="1"/>
    </xf>
    <xf numFmtId="171" fontId="0" fillId="39" borderId="7" xfId="1" applyNumberFormat="1" applyFont="1" applyFill="1" applyBorder="1" applyAlignment="1" applyProtection="1">
      <alignment vertical="center"/>
      <protection locked="0" hidden="1"/>
    </xf>
    <xf numFmtId="166" fontId="104" fillId="39" borderId="5" xfId="1" applyFill="1" applyBorder="1" applyAlignment="1" applyProtection="1">
      <alignment vertical="center"/>
      <protection locked="0" hidden="1"/>
    </xf>
    <xf numFmtId="2" fontId="0" fillId="39" borderId="9" xfId="0" applyNumberFormat="1" applyFill="1" applyBorder="1" applyAlignment="1" applyProtection="1">
      <alignment vertical="center"/>
      <protection locked="0" hidden="1"/>
    </xf>
    <xf numFmtId="0" fontId="12" fillId="39" borderId="7" xfId="0" applyFont="1" applyFill="1" applyBorder="1" applyAlignment="1" applyProtection="1">
      <alignment vertical="center"/>
      <protection locked="0" hidden="1"/>
    </xf>
    <xf numFmtId="166" fontId="12" fillId="39" borderId="5" xfId="1" applyFont="1" applyFill="1" applyBorder="1" applyAlignment="1" applyProtection="1">
      <alignment vertical="center"/>
      <protection locked="0" hidden="1"/>
    </xf>
    <xf numFmtId="0" fontId="12" fillId="39" borderId="7" xfId="0" applyFont="1" applyFill="1" applyBorder="1" applyProtection="1">
      <protection locked="0" hidden="1"/>
    </xf>
    <xf numFmtId="166" fontId="104" fillId="39" borderId="7" xfId="1" applyFill="1" applyBorder="1" applyAlignment="1" applyProtection="1">
      <alignment vertical="center"/>
      <protection locked="0" hidden="1"/>
    </xf>
    <xf numFmtId="168" fontId="12" fillId="39" borderId="5" xfId="1" applyNumberFormat="1" applyFont="1" applyFill="1" applyBorder="1" applyAlignment="1" applyProtection="1">
      <alignment vertical="center"/>
      <protection locked="0" hidden="1"/>
    </xf>
    <xf numFmtId="0" fontId="0" fillId="39" borderId="7" xfId="0" applyFill="1" applyBorder="1" applyAlignment="1" applyProtection="1">
      <alignment vertical="center"/>
      <protection locked="0" hidden="1"/>
    </xf>
    <xf numFmtId="166" fontId="12" fillId="39" borderId="5" xfId="1" applyFont="1" applyFill="1" applyBorder="1" applyProtection="1">
      <protection locked="0" hidden="1"/>
    </xf>
    <xf numFmtId="166" fontId="6" fillId="39" borderId="73" xfId="1" applyFont="1" applyFill="1" applyBorder="1" applyAlignment="1" applyProtection="1">
      <alignment vertical="center"/>
      <protection locked="0" hidden="1"/>
    </xf>
    <xf numFmtId="166" fontId="6" fillId="39" borderId="77" xfId="1" applyFont="1" applyFill="1" applyBorder="1" applyAlignment="1" applyProtection="1">
      <alignment vertical="center"/>
      <protection locked="0" hidden="1"/>
    </xf>
    <xf numFmtId="0" fontId="8" fillId="29" borderId="22" xfId="0" applyFont="1" applyFill="1" applyBorder="1" applyAlignment="1" applyProtection="1">
      <alignment horizontal="center"/>
      <protection hidden="1"/>
    </xf>
    <xf numFmtId="0" fontId="13" fillId="29" borderId="21" xfId="0" applyFont="1" applyFill="1" applyBorder="1" applyProtection="1">
      <protection hidden="1"/>
    </xf>
    <xf numFmtId="173" fontId="8" fillId="29" borderId="21" xfId="1" applyNumberFormat="1" applyFont="1" applyFill="1" applyBorder="1" applyProtection="1">
      <protection hidden="1"/>
    </xf>
    <xf numFmtId="9" fontId="8" fillId="29" borderId="48" xfId="3" applyFont="1" applyFill="1" applyBorder="1" applyAlignment="1" applyProtection="1">
      <alignment horizontal="center"/>
      <protection locked="0" hidden="1"/>
    </xf>
    <xf numFmtId="167" fontId="8" fillId="29" borderId="21" xfId="2" applyNumberFormat="1" applyFont="1" applyFill="1" applyBorder="1" applyProtection="1">
      <protection hidden="1"/>
    </xf>
    <xf numFmtId="168" fontId="8" fillId="29" borderId="20" xfId="1" applyNumberFormat="1" applyFont="1" applyFill="1" applyBorder="1" applyProtection="1">
      <protection hidden="1"/>
    </xf>
    <xf numFmtId="0" fontId="8" fillId="37" borderId="22" xfId="0" applyFont="1" applyFill="1" applyBorder="1" applyAlignment="1" applyProtection="1">
      <alignment horizontal="center"/>
      <protection hidden="1"/>
    </xf>
    <xf numFmtId="0" fontId="29" fillId="37" borderId="21" xfId="0" applyFont="1" applyFill="1" applyBorder="1" applyProtection="1">
      <protection hidden="1"/>
    </xf>
    <xf numFmtId="173" fontId="8" fillId="37" borderId="21" xfId="1" applyNumberFormat="1" applyFont="1" applyFill="1" applyBorder="1" applyProtection="1">
      <protection hidden="1"/>
    </xf>
    <xf numFmtId="9" fontId="8" fillId="37" borderId="48" xfId="3" applyFont="1" applyFill="1" applyBorder="1" applyAlignment="1" applyProtection="1">
      <alignment horizontal="center"/>
      <protection locked="0" hidden="1"/>
    </xf>
    <xf numFmtId="167" fontId="8" fillId="37" borderId="21" xfId="2" applyNumberFormat="1" applyFont="1" applyFill="1" applyBorder="1" applyProtection="1">
      <protection hidden="1"/>
    </xf>
    <xf numFmtId="166" fontId="8" fillId="37" borderId="20" xfId="1" applyNumberFormat="1" applyFont="1" applyFill="1" applyBorder="1" applyProtection="1">
      <protection hidden="1"/>
    </xf>
    <xf numFmtId="0" fontId="37" fillId="37" borderId="22" xfId="0" applyFont="1" applyFill="1" applyBorder="1" applyAlignment="1" applyProtection="1">
      <alignment horizontal="center" vertical="center"/>
      <protection hidden="1"/>
    </xf>
    <xf numFmtId="173" fontId="37" fillId="37" borderId="21" xfId="1" applyNumberFormat="1" applyFont="1" applyFill="1" applyBorder="1" applyAlignment="1" applyProtection="1">
      <alignment horizontal="center" vertical="center"/>
      <protection hidden="1"/>
    </xf>
    <xf numFmtId="9" fontId="37" fillId="37" borderId="21" xfId="3" applyFont="1" applyFill="1" applyBorder="1" applyAlignment="1" applyProtection="1">
      <alignment horizontal="center" vertical="center"/>
      <protection locked="0" hidden="1"/>
    </xf>
    <xf numFmtId="167" fontId="37" fillId="37" borderId="21" xfId="2" applyNumberFormat="1" applyFont="1" applyFill="1" applyBorder="1" applyAlignment="1" applyProtection="1">
      <alignment vertical="center"/>
      <protection hidden="1"/>
    </xf>
    <xf numFmtId="168" fontId="37" fillId="37" borderId="20" xfId="1" applyNumberFormat="1" applyFont="1" applyFill="1" applyBorder="1" applyAlignment="1" applyProtection="1">
      <alignment horizontal="center" vertical="center"/>
      <protection hidden="1"/>
    </xf>
    <xf numFmtId="0" fontId="11" fillId="0" borderId="113" xfId="0" applyFont="1" applyFill="1" applyBorder="1" applyAlignment="1" applyProtection="1">
      <alignment horizontal="center"/>
      <protection hidden="1"/>
    </xf>
    <xf numFmtId="2" fontId="11" fillId="0" borderId="85" xfId="0" applyNumberFormat="1" applyFont="1" applyBorder="1" applyAlignment="1" applyProtection="1">
      <alignment vertical="center"/>
      <protection hidden="1"/>
    </xf>
    <xf numFmtId="0" fontId="11" fillId="0" borderId="137" xfId="0" applyFont="1" applyBorder="1" applyAlignment="1" applyProtection="1">
      <alignment vertical="center"/>
      <protection locked="0" hidden="1"/>
    </xf>
    <xf numFmtId="2" fontId="6" fillId="0" borderId="72" xfId="0" applyNumberFormat="1" applyFont="1" applyFill="1" applyBorder="1" applyAlignment="1" applyProtection="1">
      <alignment vertical="center"/>
      <protection hidden="1"/>
    </xf>
    <xf numFmtId="2" fontId="0" fillId="0" borderId="76" xfId="0" applyNumberFormat="1" applyBorder="1" applyAlignment="1" applyProtection="1">
      <alignment vertical="center"/>
      <protection hidden="1"/>
    </xf>
    <xf numFmtId="0" fontId="0" fillId="0" borderId="76" xfId="0" applyBorder="1" applyAlignment="1" applyProtection="1">
      <alignment vertical="center"/>
      <protection locked="0" hidden="1"/>
    </xf>
    <xf numFmtId="167" fontId="12" fillId="0" borderId="72" xfId="2" applyNumberFormat="1" applyFont="1" applyBorder="1" applyAlignment="1" applyProtection="1">
      <alignment vertical="center"/>
      <protection hidden="1"/>
    </xf>
    <xf numFmtId="168" fontId="12" fillId="0" borderId="79" xfId="1" applyNumberFormat="1" applyFont="1" applyBorder="1" applyAlignment="1" applyProtection="1">
      <alignment horizontal="center" vertical="center"/>
      <protection hidden="1"/>
    </xf>
    <xf numFmtId="0" fontId="6" fillId="0" borderId="80" xfId="0" applyFont="1" applyBorder="1" applyAlignment="1" applyProtection="1">
      <alignment vertical="center"/>
      <protection hidden="1"/>
    </xf>
    <xf numFmtId="2" fontId="6" fillId="0" borderId="80" xfId="0" applyNumberFormat="1" applyFont="1" applyBorder="1" applyAlignment="1" applyProtection="1">
      <alignment vertical="center"/>
      <protection hidden="1"/>
    </xf>
    <xf numFmtId="0" fontId="6" fillId="0" borderId="80" xfId="0" applyFont="1" applyBorder="1" applyAlignment="1" applyProtection="1">
      <alignment vertical="center"/>
      <protection locked="0" hidden="1"/>
    </xf>
    <xf numFmtId="167" fontId="6" fillId="0" borderId="80" xfId="2" applyNumberFormat="1" applyFont="1" applyBorder="1" applyAlignment="1" applyProtection="1">
      <alignment vertical="center"/>
      <protection hidden="1"/>
    </xf>
    <xf numFmtId="168" fontId="6" fillId="0" borderId="81" xfId="1" applyNumberFormat="1" applyFont="1" applyBorder="1" applyAlignment="1" applyProtection="1">
      <alignment horizontal="center" vertical="center"/>
      <protection hidden="1"/>
    </xf>
    <xf numFmtId="0" fontId="0" fillId="0" borderId="76" xfId="0" applyFill="1" applyBorder="1" applyAlignment="1" applyProtection="1">
      <alignment vertical="center"/>
      <protection hidden="1"/>
    </xf>
    <xf numFmtId="2" fontId="0" fillId="0" borderId="76" xfId="0" applyNumberFormat="1" applyFill="1" applyBorder="1" applyAlignment="1" applyProtection="1">
      <alignment vertical="center"/>
      <protection hidden="1"/>
    </xf>
    <xf numFmtId="0" fontId="0" fillId="0" borderId="76" xfId="0" applyFill="1" applyBorder="1" applyAlignment="1" applyProtection="1">
      <alignment vertical="center"/>
      <protection locked="0" hidden="1"/>
    </xf>
    <xf numFmtId="167" fontId="12" fillId="0" borderId="76" xfId="2" applyNumberFormat="1" applyFont="1" applyBorder="1" applyAlignment="1" applyProtection="1">
      <alignment vertical="center"/>
      <protection hidden="1"/>
    </xf>
    <xf numFmtId="168" fontId="12" fillId="0" borderId="17" xfId="1" applyNumberFormat="1" applyFont="1" applyBorder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70" fillId="0" borderId="0" xfId="0" applyFont="1" applyFill="1" applyAlignment="1" applyProtection="1">
      <alignment vertical="center"/>
      <protection hidden="1"/>
    </xf>
    <xf numFmtId="164" fontId="43" fillId="0" borderId="115" xfId="0" applyNumberFormat="1" applyFont="1" applyFill="1" applyBorder="1" applyAlignment="1" applyProtection="1">
      <alignment vertical="center"/>
      <protection hidden="1"/>
    </xf>
    <xf numFmtId="173" fontId="43" fillId="0" borderId="0" xfId="0" applyNumberFormat="1" applyFont="1" applyFill="1" applyAlignment="1" applyProtection="1">
      <alignment vertical="center"/>
      <protection hidden="1"/>
    </xf>
    <xf numFmtId="173" fontId="43" fillId="0" borderId="51" xfId="0" applyNumberFormat="1" applyFont="1" applyFill="1" applyBorder="1" applyAlignment="1" applyProtection="1">
      <alignment vertical="center"/>
      <protection hidden="1"/>
    </xf>
    <xf numFmtId="164" fontId="43" fillId="0" borderId="61" xfId="0" applyNumberFormat="1" applyFont="1" applyFill="1" applyBorder="1" applyAlignment="1" applyProtection="1">
      <alignment vertical="center"/>
      <protection hidden="1"/>
    </xf>
    <xf numFmtId="173" fontId="43" fillId="0" borderId="9" xfId="0" applyNumberFormat="1" applyFont="1" applyFill="1" applyBorder="1" applyAlignment="1" applyProtection="1">
      <alignment vertical="center"/>
      <protection hidden="1"/>
    </xf>
    <xf numFmtId="167" fontId="43" fillId="0" borderId="86" xfId="2" applyNumberFormat="1" applyFont="1" applyFill="1" applyBorder="1" applyAlignment="1" applyProtection="1">
      <alignment vertical="center"/>
      <protection hidden="1"/>
    </xf>
    <xf numFmtId="167" fontId="43" fillId="0" borderId="0" xfId="2" applyNumberFormat="1" applyFont="1" applyFill="1" applyAlignment="1" applyProtection="1">
      <alignment vertical="center"/>
      <protection hidden="1"/>
    </xf>
    <xf numFmtId="167" fontId="43" fillId="0" borderId="122" xfId="2" applyNumberFormat="1" applyFont="1" applyFill="1" applyBorder="1" applyAlignment="1" applyProtection="1">
      <alignment vertical="center"/>
      <protection hidden="1"/>
    </xf>
    <xf numFmtId="167" fontId="43" fillId="0" borderId="88" xfId="2" applyNumberFormat="1" applyFont="1" applyFill="1" applyBorder="1" applyAlignment="1" applyProtection="1">
      <alignment vertical="center"/>
      <protection hidden="1"/>
    </xf>
    <xf numFmtId="167" fontId="43" fillId="0" borderId="6" xfId="2" applyNumberFormat="1" applyFont="1" applyFill="1" applyBorder="1" applyAlignment="1" applyProtection="1">
      <alignment vertical="center"/>
      <protection hidden="1"/>
    </xf>
    <xf numFmtId="167" fontId="43" fillId="0" borderId="9" xfId="2" applyNumberFormat="1" applyFont="1" applyFill="1" applyBorder="1" applyAlignment="1" applyProtection="1">
      <alignment vertical="center"/>
      <protection hidden="1"/>
    </xf>
    <xf numFmtId="171" fontId="228" fillId="0" borderId="19" xfId="1" applyNumberFormat="1" applyFont="1" applyFill="1" applyBorder="1" applyAlignment="1" applyProtection="1">
      <alignment horizontal="right" vertical="center"/>
      <protection hidden="1"/>
    </xf>
    <xf numFmtId="171" fontId="228" fillId="0" borderId="128" xfId="1" applyNumberFormat="1" applyFont="1" applyFill="1" applyBorder="1" applyAlignment="1" applyProtection="1">
      <alignment horizontal="right" vertical="center"/>
      <protection hidden="1"/>
    </xf>
    <xf numFmtId="0" fontId="30" fillId="0" borderId="0" xfId="0" applyFont="1" applyFill="1" applyAlignment="1" applyProtection="1">
      <alignment horizontal="center" vertical="center"/>
      <protection hidden="1"/>
    </xf>
    <xf numFmtId="0" fontId="40" fillId="0" borderId="0" xfId="0" applyFont="1" applyFill="1" applyAlignment="1" applyProtection="1">
      <alignment vertical="center"/>
      <protection hidden="1"/>
    </xf>
    <xf numFmtId="186" fontId="227" fillId="0" borderId="0" xfId="0" applyNumberFormat="1" applyFont="1" applyFill="1" applyAlignment="1" applyProtection="1">
      <alignment vertical="center"/>
      <protection hidden="1"/>
    </xf>
    <xf numFmtId="0" fontId="41" fillId="0" borderId="0" xfId="0" applyFont="1" applyFill="1" applyAlignment="1" applyProtection="1">
      <alignment horizontal="right" vertical="center"/>
      <protection hidden="1"/>
    </xf>
    <xf numFmtId="186" fontId="41" fillId="0" borderId="0" xfId="0" applyNumberFormat="1" applyFont="1" applyFill="1" applyAlignment="1" applyProtection="1">
      <alignment vertical="center"/>
      <protection hidden="1"/>
    </xf>
    <xf numFmtId="187" fontId="227" fillId="0" borderId="0" xfId="0" applyNumberFormat="1" applyFont="1" applyFill="1" applyBorder="1" applyAlignment="1" applyProtection="1">
      <alignment vertical="center"/>
      <protection hidden="1"/>
    </xf>
    <xf numFmtId="0" fontId="40" fillId="0" borderId="0" xfId="0" applyFont="1" applyFill="1" applyBorder="1" applyAlignment="1" applyProtection="1">
      <alignment vertical="center"/>
      <protection hidden="1"/>
    </xf>
    <xf numFmtId="187" fontId="41" fillId="0" borderId="0" xfId="0" applyNumberFormat="1" applyFont="1" applyFill="1" applyBorder="1" applyAlignment="1" applyProtection="1">
      <alignment vertical="center"/>
      <protection hidden="1"/>
    </xf>
    <xf numFmtId="171" fontId="237" fillId="0" borderId="103" xfId="1" applyNumberFormat="1" applyFont="1" applyFill="1" applyBorder="1"/>
    <xf numFmtId="0" fontId="41" fillId="0" borderId="103" xfId="0" applyFont="1" applyFill="1" applyBorder="1" applyAlignment="1" applyProtection="1">
      <alignment horizontal="right" vertical="center"/>
      <protection hidden="1"/>
    </xf>
    <xf numFmtId="171" fontId="104" fillId="0" borderId="103" xfId="1" applyNumberFormat="1" applyFill="1" applyBorder="1"/>
    <xf numFmtId="0" fontId="70" fillId="0" borderId="0" xfId="0" applyFont="1" applyFill="1" applyBorder="1" applyAlignment="1" applyProtection="1">
      <alignment vertical="center"/>
      <protection hidden="1"/>
    </xf>
    <xf numFmtId="174" fontId="81" fillId="0" borderId="0" xfId="1" applyNumberFormat="1" applyFont="1" applyFill="1" applyAlignment="1" applyProtection="1">
      <alignment horizontal="center" vertical="center"/>
      <protection hidden="1"/>
    </xf>
    <xf numFmtId="171" fontId="30" fillId="22" borderId="0" xfId="0" applyNumberFormat="1" applyFont="1" applyFill="1" applyAlignment="1" applyProtection="1">
      <alignment vertical="center"/>
      <protection locked="0" hidden="1"/>
    </xf>
    <xf numFmtId="171" fontId="30" fillId="22" borderId="0" xfId="1" applyNumberFormat="1" applyFont="1" applyFill="1" applyAlignment="1" applyProtection="1">
      <alignment vertical="center"/>
      <protection locked="0" hidden="1"/>
    </xf>
    <xf numFmtId="171" fontId="53" fillId="0" borderId="138" xfId="1" applyNumberFormat="1" applyFont="1" applyBorder="1" applyAlignment="1" applyProtection="1">
      <alignment vertical="center"/>
      <protection hidden="1"/>
    </xf>
    <xf numFmtId="171" fontId="53" fillId="0" borderId="114" xfId="1" applyNumberFormat="1" applyFont="1" applyBorder="1" applyAlignment="1" applyProtection="1">
      <alignment vertical="center"/>
      <protection hidden="1"/>
    </xf>
    <xf numFmtId="171" fontId="43" fillId="0" borderId="70" xfId="1" applyNumberFormat="1" applyFont="1" applyBorder="1" applyAlignment="1" applyProtection="1">
      <alignment vertical="center"/>
      <protection hidden="1"/>
    </xf>
    <xf numFmtId="171" fontId="43" fillId="0" borderId="52" xfId="1" applyNumberFormat="1" applyFont="1" applyBorder="1" applyAlignment="1" applyProtection="1">
      <alignment vertical="center"/>
      <protection hidden="1"/>
    </xf>
    <xf numFmtId="0" fontId="87" fillId="0" borderId="29" xfId="0" applyFont="1" applyBorder="1" applyAlignment="1" applyProtection="1">
      <alignment horizontal="left"/>
      <protection hidden="1"/>
    </xf>
    <xf numFmtId="0" fontId="12" fillId="0" borderId="85" xfId="0" applyFont="1" applyBorder="1" applyAlignment="1" applyProtection="1">
      <alignment vertical="center"/>
      <protection hidden="1"/>
    </xf>
    <xf numFmtId="2" fontId="11" fillId="0" borderId="138" xfId="0" applyNumberFormat="1" applyFont="1" applyBorder="1" applyProtection="1">
      <protection hidden="1"/>
    </xf>
    <xf numFmtId="167" fontId="11" fillId="0" borderId="87" xfId="2" applyNumberFormat="1" applyFont="1" applyBorder="1" applyAlignment="1" applyProtection="1">
      <alignment vertical="center"/>
      <protection hidden="1"/>
    </xf>
    <xf numFmtId="0" fontId="0" fillId="0" borderId="72" xfId="0" applyBorder="1" applyAlignment="1" applyProtection="1">
      <alignment vertical="center"/>
      <protection locked="0" hidden="1"/>
    </xf>
    <xf numFmtId="167" fontId="11" fillId="0" borderId="72" xfId="2" applyNumberFormat="1" applyFont="1" applyBorder="1" applyProtection="1">
      <protection hidden="1"/>
    </xf>
    <xf numFmtId="2" fontId="11" fillId="0" borderId="80" xfId="0" applyNumberFormat="1" applyFont="1" applyBorder="1" applyProtection="1">
      <protection hidden="1"/>
    </xf>
    <xf numFmtId="0" fontId="11" fillId="0" borderId="80" xfId="0" applyFont="1" applyBorder="1" applyAlignment="1" applyProtection="1">
      <alignment vertical="center"/>
      <protection locked="0" hidden="1"/>
    </xf>
    <xf numFmtId="167" fontId="11" fillId="0" borderId="80" xfId="2" applyNumberFormat="1" applyFont="1" applyBorder="1" applyAlignment="1" applyProtection="1">
      <alignment vertical="center"/>
      <protection hidden="1"/>
    </xf>
    <xf numFmtId="0" fontId="0" fillId="0" borderId="78" xfId="0" applyFill="1" applyBorder="1" applyAlignment="1" applyProtection="1">
      <alignment vertical="center"/>
      <protection hidden="1"/>
    </xf>
    <xf numFmtId="2" fontId="0" fillId="0" borderId="6" xfId="0" applyNumberFormat="1" applyFill="1" applyBorder="1" applyAlignment="1" applyProtection="1">
      <alignment vertical="center"/>
      <protection hidden="1"/>
    </xf>
    <xf numFmtId="167" fontId="11" fillId="0" borderId="76" xfId="2" applyNumberFormat="1" applyFont="1" applyBorder="1" applyProtection="1">
      <protection hidden="1"/>
    </xf>
    <xf numFmtId="168" fontId="11" fillId="0" borderId="17" xfId="1" applyNumberFormat="1" applyFont="1" applyBorder="1" applyAlignment="1" applyProtection="1">
      <alignment horizontal="center"/>
      <protection hidden="1"/>
    </xf>
    <xf numFmtId="0" fontId="11" fillId="0" borderId="80" xfId="0" applyFont="1" applyBorder="1" applyProtection="1">
      <protection locked="0" hidden="1"/>
    </xf>
    <xf numFmtId="167" fontId="11" fillId="0" borderId="80" xfId="2" applyNumberFormat="1" applyFont="1" applyBorder="1" applyProtection="1">
      <protection hidden="1"/>
    </xf>
    <xf numFmtId="171" fontId="43" fillId="0" borderId="0" xfId="1" applyNumberFormat="1" applyFont="1" applyFill="1" applyAlignment="1" applyProtection="1">
      <alignment vertical="center"/>
      <protection hidden="1"/>
    </xf>
    <xf numFmtId="171" fontId="43" fillId="0" borderId="115" xfId="1" applyNumberFormat="1" applyFont="1" applyFill="1" applyBorder="1" applyAlignment="1" applyProtection="1">
      <alignment vertical="center"/>
      <protection hidden="1"/>
    </xf>
    <xf numFmtId="166" fontId="12" fillId="0" borderId="84" xfId="1" applyFont="1" applyBorder="1" applyAlignment="1" applyProtection="1">
      <alignment vertical="center"/>
      <protection hidden="1"/>
    </xf>
    <xf numFmtId="2" fontId="11" fillId="0" borderId="113" xfId="0" applyNumberFormat="1" applyFont="1" applyFill="1" applyBorder="1" applyAlignment="1" applyProtection="1">
      <alignment vertical="center"/>
      <protection hidden="1"/>
    </xf>
    <xf numFmtId="0" fontId="11" fillId="0" borderId="84" xfId="0" applyFont="1" applyBorder="1" applyAlignment="1" applyProtection="1">
      <alignment vertical="center"/>
      <protection locked="0" hidden="1"/>
    </xf>
    <xf numFmtId="2" fontId="1" fillId="0" borderId="72" xfId="0" applyNumberFormat="1" applyFont="1" applyFill="1" applyBorder="1" applyAlignment="1" applyProtection="1">
      <alignment vertical="center"/>
      <protection hidden="1"/>
    </xf>
    <xf numFmtId="0" fontId="1" fillId="0" borderId="72" xfId="0" applyFont="1" applyFill="1" applyBorder="1" applyAlignment="1" applyProtection="1">
      <alignment vertical="center"/>
      <protection locked="0" hidden="1"/>
    </xf>
    <xf numFmtId="166" fontId="0" fillId="0" borderId="76" xfId="1" applyFont="1" applyBorder="1" applyAlignment="1" applyProtection="1">
      <alignment vertical="center"/>
      <protection hidden="1"/>
    </xf>
    <xf numFmtId="166" fontId="0" fillId="0" borderId="80" xfId="1" applyFont="1" applyBorder="1" applyAlignment="1" applyProtection="1">
      <alignment vertical="center"/>
      <protection hidden="1"/>
    </xf>
    <xf numFmtId="167" fontId="6" fillId="0" borderId="81" xfId="2" applyNumberFormat="1" applyFont="1" applyBorder="1" applyAlignment="1" applyProtection="1">
      <alignment vertical="center"/>
      <protection hidden="1"/>
    </xf>
    <xf numFmtId="0" fontId="12" fillId="0" borderId="84" xfId="0" applyFont="1" applyFill="1" applyBorder="1" applyAlignment="1" applyProtection="1">
      <alignment vertical="center"/>
      <protection hidden="1"/>
    </xf>
    <xf numFmtId="0" fontId="12" fillId="0" borderId="114" xfId="0" applyFont="1" applyFill="1" applyBorder="1" applyAlignment="1" applyProtection="1">
      <alignment vertical="center"/>
      <protection hidden="1"/>
    </xf>
    <xf numFmtId="2" fontId="11" fillId="0" borderId="85" xfId="0" applyNumberFormat="1" applyFont="1" applyFill="1" applyBorder="1" applyAlignment="1" applyProtection="1">
      <alignment vertical="center"/>
      <protection hidden="1"/>
    </xf>
    <xf numFmtId="0" fontId="11" fillId="0" borderId="137" xfId="0" applyFont="1" applyFill="1" applyBorder="1" applyAlignment="1" applyProtection="1">
      <alignment vertical="center"/>
      <protection locked="0" hidden="1"/>
    </xf>
    <xf numFmtId="167" fontId="11" fillId="0" borderId="138" xfId="2" applyNumberFormat="1" applyFont="1" applyBorder="1" applyAlignment="1" applyProtection="1">
      <alignment vertical="center"/>
      <protection hidden="1"/>
    </xf>
    <xf numFmtId="167" fontId="0" fillId="0" borderId="8" xfId="2" applyNumberFormat="1" applyFont="1" applyBorder="1" applyAlignment="1" applyProtection="1">
      <alignment vertical="center"/>
      <protection hidden="1"/>
    </xf>
    <xf numFmtId="166" fontId="104" fillId="39" borderId="72" xfId="1" applyFill="1" applyBorder="1" applyAlignment="1" applyProtection="1">
      <alignment vertical="center"/>
      <protection locked="0" hidden="1"/>
    </xf>
    <xf numFmtId="169" fontId="0" fillId="0" borderId="76" xfId="2" applyFont="1" applyBorder="1" applyAlignment="1" applyProtection="1">
      <alignment vertical="center"/>
      <protection hidden="1"/>
    </xf>
    <xf numFmtId="0" fontId="12" fillId="0" borderId="80" xfId="0" applyFont="1" applyFill="1" applyBorder="1" applyAlignment="1" applyProtection="1">
      <alignment vertical="center"/>
      <protection hidden="1"/>
    </xf>
    <xf numFmtId="2" fontId="11" fillId="0" borderId="80" xfId="0" applyNumberFormat="1" applyFont="1" applyFill="1" applyBorder="1" applyAlignment="1" applyProtection="1">
      <alignment vertical="center"/>
      <protection hidden="1"/>
    </xf>
    <xf numFmtId="0" fontId="11" fillId="0" borderId="80" xfId="0" applyFont="1" applyFill="1" applyBorder="1" applyAlignment="1" applyProtection="1">
      <alignment vertical="center"/>
      <protection locked="0" hidden="1"/>
    </xf>
    <xf numFmtId="166" fontId="12" fillId="0" borderId="84" xfId="1" applyFont="1" applyBorder="1" applyProtection="1">
      <protection hidden="1"/>
    </xf>
    <xf numFmtId="0" fontId="12" fillId="0" borderId="114" xfId="0" applyFont="1" applyBorder="1" applyProtection="1">
      <protection hidden="1"/>
    </xf>
    <xf numFmtId="2" fontId="11" fillId="0" borderId="85" xfId="0" applyNumberFormat="1" applyFont="1" applyBorder="1" applyProtection="1">
      <protection hidden="1"/>
    </xf>
    <xf numFmtId="0" fontId="11" fillId="0" borderId="137" xfId="0" applyFont="1" applyBorder="1" applyProtection="1">
      <protection locked="0" hidden="1"/>
    </xf>
    <xf numFmtId="167" fontId="11" fillId="0" borderId="113" xfId="2" applyNumberFormat="1" applyFont="1" applyBorder="1" applyProtection="1">
      <protection hidden="1"/>
    </xf>
    <xf numFmtId="166" fontId="11" fillId="0" borderId="129" xfId="1" applyNumberFormat="1" applyFont="1" applyBorder="1" applyAlignment="1" applyProtection="1">
      <alignment horizontal="center"/>
      <protection hidden="1"/>
    </xf>
    <xf numFmtId="0" fontId="3" fillId="0" borderId="54" xfId="0" applyFont="1" applyBorder="1" applyProtection="1">
      <protection hidden="1"/>
    </xf>
    <xf numFmtId="0" fontId="3" fillId="0" borderId="76" xfId="0" applyFont="1" applyBorder="1" applyProtection="1">
      <protection hidden="1"/>
    </xf>
    <xf numFmtId="2" fontId="0" fillId="0" borderId="76" xfId="0" applyNumberFormat="1" applyBorder="1" applyProtection="1">
      <protection hidden="1"/>
    </xf>
    <xf numFmtId="0" fontId="0" fillId="0" borderId="76" xfId="0" applyBorder="1" applyProtection="1">
      <protection locked="0" hidden="1"/>
    </xf>
    <xf numFmtId="167" fontId="0" fillId="0" borderId="76" xfId="2" applyNumberFormat="1" applyFont="1" applyBorder="1" applyProtection="1">
      <protection hidden="1"/>
    </xf>
    <xf numFmtId="167" fontId="11" fillId="0" borderId="81" xfId="2" applyNumberFormat="1" applyFont="1" applyBorder="1" applyProtection="1">
      <protection hidden="1"/>
    </xf>
    <xf numFmtId="167" fontId="12" fillId="0" borderId="72" xfId="2" applyNumberFormat="1" applyFont="1" applyBorder="1" applyProtection="1">
      <protection hidden="1"/>
    </xf>
    <xf numFmtId="166" fontId="12" fillId="0" borderId="79" xfId="1" applyNumberFormat="1" applyFont="1" applyBorder="1" applyAlignment="1" applyProtection="1">
      <alignment horizontal="center"/>
      <protection hidden="1"/>
    </xf>
    <xf numFmtId="0" fontId="1" fillId="39" borderId="54" xfId="0" applyFont="1" applyFill="1" applyBorder="1" applyProtection="1">
      <protection locked="0" hidden="1"/>
    </xf>
    <xf numFmtId="0" fontId="1" fillId="39" borderId="23" xfId="0" applyFont="1" applyFill="1" applyBorder="1" applyProtection="1">
      <protection locked="0" hidden="1"/>
    </xf>
    <xf numFmtId="0" fontId="1" fillId="39" borderId="28" xfId="0" applyFont="1" applyFill="1" applyBorder="1" applyProtection="1">
      <protection locked="0" hidden="1"/>
    </xf>
    <xf numFmtId="10" fontId="0" fillId="22" borderId="9" xfId="3" applyNumberFormat="1" applyFont="1" applyFill="1" applyBorder="1" applyAlignment="1" applyProtection="1">
      <alignment horizontal="center" vertical="center"/>
      <protection locked="0" hidden="1"/>
    </xf>
    <xf numFmtId="10" fontId="3" fillId="22" borderId="9" xfId="3" applyNumberFormat="1" applyFont="1" applyFill="1" applyBorder="1" applyAlignment="1" applyProtection="1">
      <alignment horizontal="center"/>
      <protection locked="0" hidden="1"/>
    </xf>
    <xf numFmtId="0" fontId="3" fillId="39" borderId="23" xfId="0" applyFont="1" applyFill="1" applyBorder="1" applyAlignment="1" applyProtection="1">
      <alignment vertical="center"/>
      <protection locked="0" hidden="1"/>
    </xf>
    <xf numFmtId="0" fontId="3" fillId="39" borderId="29" xfId="0" applyFont="1" applyFill="1" applyBorder="1" applyAlignment="1" applyProtection="1">
      <alignment vertical="center"/>
      <protection locked="0" hidden="1"/>
    </xf>
    <xf numFmtId="166" fontId="6" fillId="39" borderId="80" xfId="1" applyFont="1" applyFill="1" applyBorder="1" applyAlignment="1" applyProtection="1">
      <alignment vertical="center"/>
      <protection locked="0" hidden="1"/>
    </xf>
    <xf numFmtId="166" fontId="104" fillId="39" borderId="84" xfId="1" applyFill="1" applyBorder="1" applyAlignment="1" applyProtection="1">
      <alignment vertical="center"/>
      <protection locked="0" hidden="1"/>
    </xf>
    <xf numFmtId="166" fontId="104" fillId="39" borderId="77" xfId="1" applyFill="1" applyBorder="1" applyAlignment="1" applyProtection="1">
      <alignment vertical="center"/>
      <protection locked="0" hidden="1"/>
    </xf>
    <xf numFmtId="0" fontId="3" fillId="0" borderId="54" xfId="0" applyFont="1" applyBorder="1" applyAlignment="1" applyProtection="1">
      <alignment vertical="center"/>
      <protection locked="0" hidden="1"/>
    </xf>
    <xf numFmtId="0" fontId="1" fillId="39" borderId="113" xfId="0" applyFont="1" applyFill="1" applyBorder="1" applyProtection="1">
      <protection locked="0" hidden="1"/>
    </xf>
    <xf numFmtId="0" fontId="3" fillId="0" borderId="23" xfId="0" applyFont="1" applyBorder="1" applyAlignment="1" applyProtection="1">
      <alignment vertical="center"/>
      <protection locked="0" hidden="1"/>
    </xf>
    <xf numFmtId="10" fontId="1" fillId="22" borderId="9" xfId="3" applyNumberFormat="1" applyFont="1" applyFill="1" applyBorder="1" applyAlignment="1" applyProtection="1">
      <alignment horizontal="center"/>
      <protection locked="0" hidden="1"/>
    </xf>
    <xf numFmtId="0" fontId="12" fillId="10" borderId="7" xfId="0" applyFont="1" applyFill="1" applyBorder="1" applyProtection="1">
      <protection locked="0" hidden="1"/>
    </xf>
    <xf numFmtId="169" fontId="42" fillId="0" borderId="9" xfId="2" applyFont="1" applyFill="1" applyBorder="1" applyAlignment="1" applyProtection="1">
      <alignment vertical="center"/>
      <protection hidden="1"/>
    </xf>
    <xf numFmtId="169" fontId="42" fillId="0" borderId="77" xfId="2" applyFont="1" applyFill="1" applyBorder="1" applyAlignment="1" applyProtection="1">
      <alignment vertical="center"/>
      <protection hidden="1"/>
    </xf>
    <xf numFmtId="0" fontId="1" fillId="0" borderId="0" xfId="0" applyFont="1" applyFill="1" applyAlignment="1" applyProtection="1">
      <alignment vertical="center"/>
      <protection hidden="1"/>
    </xf>
    <xf numFmtId="166" fontId="6" fillId="0" borderId="0" xfId="1" applyFont="1" applyFill="1" applyProtection="1">
      <protection hidden="1"/>
    </xf>
    <xf numFmtId="166" fontId="6" fillId="31" borderId="0" xfId="1" applyFont="1" applyFill="1" applyProtection="1">
      <protection locked="0"/>
    </xf>
    <xf numFmtId="166" fontId="6" fillId="17" borderId="0" xfId="1" applyFont="1" applyFill="1" applyProtection="1">
      <protection locked="0"/>
    </xf>
    <xf numFmtId="0" fontId="260" fillId="0" borderId="0" xfId="0" applyFont="1" applyAlignment="1" applyProtection="1">
      <alignment horizontal="center" vertical="center" wrapText="1"/>
      <protection hidden="1"/>
    </xf>
    <xf numFmtId="0" fontId="260" fillId="0" borderId="59" xfId="0" applyFont="1" applyBorder="1" applyAlignment="1" applyProtection="1">
      <alignment horizontal="center" vertical="center" wrapText="1"/>
      <protection hidden="1"/>
    </xf>
    <xf numFmtId="17" fontId="17" fillId="0" borderId="0" xfId="0" applyNumberFormat="1" applyFont="1" applyAlignment="1" applyProtection="1">
      <alignment horizontal="center" vertical="center" wrapText="1"/>
      <protection hidden="1"/>
    </xf>
    <xf numFmtId="17" fontId="17" fillId="0" borderId="59" xfId="0" applyNumberFormat="1" applyFont="1" applyBorder="1" applyAlignment="1" applyProtection="1">
      <alignment horizontal="center" vertical="center" wrapText="1"/>
      <protection hidden="1"/>
    </xf>
    <xf numFmtId="166" fontId="7" fillId="0" borderId="0" xfId="1" applyFont="1" applyAlignment="1" applyProtection="1">
      <alignment horizontal="center" vertical="center" wrapText="1"/>
      <protection hidden="1"/>
    </xf>
    <xf numFmtId="0" fontId="5" fillId="5" borderId="15" xfId="0" applyFont="1" applyFill="1" applyBorder="1" applyAlignment="1" applyProtection="1">
      <alignment horizontal="center" vertical="center"/>
      <protection hidden="1"/>
    </xf>
    <xf numFmtId="0" fontId="0" fillId="0" borderId="53" xfId="0" applyBorder="1" applyProtection="1">
      <protection hidden="1"/>
    </xf>
    <xf numFmtId="0" fontId="0" fillId="0" borderId="52" xfId="0" applyBorder="1" applyProtection="1">
      <protection hidden="1"/>
    </xf>
    <xf numFmtId="0" fontId="0" fillId="0" borderId="18" xfId="0" applyBorder="1" applyProtection="1">
      <protection hidden="1"/>
    </xf>
    <xf numFmtId="0" fontId="0" fillId="0" borderId="59" xfId="0" applyBorder="1" applyProtection="1">
      <protection hidden="1"/>
    </xf>
    <xf numFmtId="0" fontId="0" fillId="0" borderId="58" xfId="0" applyBorder="1" applyProtection="1">
      <protection hidden="1"/>
    </xf>
    <xf numFmtId="0" fontId="34" fillId="8" borderId="15" xfId="0" applyFont="1" applyFill="1" applyBorder="1" applyAlignment="1" applyProtection="1">
      <alignment horizontal="center" vertical="center"/>
      <protection hidden="1"/>
    </xf>
    <xf numFmtId="0" fontId="0" fillId="0" borderId="21" xfId="0" applyBorder="1" applyProtection="1">
      <protection hidden="1"/>
    </xf>
    <xf numFmtId="0" fontId="0" fillId="0" borderId="20" xfId="0" applyBorder="1" applyProtection="1">
      <protection hidden="1"/>
    </xf>
    <xf numFmtId="0" fontId="35" fillId="0" borderId="15" xfId="0" applyFont="1" applyBorder="1" applyAlignment="1" applyProtection="1">
      <alignment horizontal="center" vertical="center"/>
      <protection hidden="1"/>
    </xf>
    <xf numFmtId="0" fontId="32" fillId="4" borderId="49" xfId="0" applyFont="1" applyFill="1" applyBorder="1" applyAlignment="1" applyProtection="1">
      <alignment horizontal="center" vertical="center"/>
      <protection hidden="1"/>
    </xf>
    <xf numFmtId="0" fontId="15" fillId="4" borderId="64" xfId="0" applyFont="1" applyFill="1" applyBorder="1" applyAlignment="1" applyProtection="1">
      <alignment horizontal="center" vertical="center"/>
      <protection hidden="1"/>
    </xf>
    <xf numFmtId="0" fontId="0" fillId="0" borderId="12" xfId="0" applyBorder="1" applyProtection="1">
      <protection hidden="1"/>
    </xf>
    <xf numFmtId="0" fontId="7" fillId="0" borderId="7" xfId="0" applyFont="1" applyBorder="1" applyAlignment="1" applyProtection="1">
      <alignment horizontal="center" vertical="center"/>
      <protection hidden="1"/>
    </xf>
    <xf numFmtId="0" fontId="0" fillId="0" borderId="1" xfId="0" applyBorder="1" applyProtection="1">
      <protection hidden="1"/>
    </xf>
    <xf numFmtId="0" fontId="21" fillId="0" borderId="108" xfId="0" applyFont="1" applyBorder="1" applyAlignment="1" applyProtection="1">
      <alignment horizontal="center" vertical="center"/>
      <protection hidden="1"/>
    </xf>
    <xf numFmtId="0" fontId="0" fillId="0" borderId="3" xfId="0" applyBorder="1" applyProtection="1">
      <protection hidden="1"/>
    </xf>
    <xf numFmtId="9" fontId="18" fillId="0" borderId="0" xfId="3" applyFont="1" applyAlignment="1" applyProtection="1">
      <alignment horizontal="center" vertical="center"/>
      <protection hidden="1"/>
    </xf>
    <xf numFmtId="0" fontId="0" fillId="0" borderId="0" xfId="0" applyProtection="1">
      <protection hidden="1"/>
    </xf>
    <xf numFmtId="0" fontId="17" fillId="0" borderId="9" xfId="0" applyFont="1" applyBorder="1" applyAlignment="1" applyProtection="1">
      <alignment horizontal="center" vertical="center"/>
      <protection hidden="1"/>
    </xf>
    <xf numFmtId="0" fontId="0" fillId="0" borderId="9" xfId="0" applyBorder="1" applyProtection="1">
      <protection hidden="1"/>
    </xf>
    <xf numFmtId="0" fontId="36" fillId="8" borderId="15" xfId="0" applyFont="1" applyFill="1" applyBorder="1" applyAlignment="1" applyProtection="1">
      <alignment horizontal="center" vertical="center"/>
      <protection hidden="1"/>
    </xf>
    <xf numFmtId="0" fontId="7" fillId="0" borderId="9" xfId="0" applyFont="1" applyBorder="1" applyAlignment="1" applyProtection="1">
      <alignment horizontal="center" vertical="center"/>
      <protection hidden="1"/>
    </xf>
    <xf numFmtId="0" fontId="39" fillId="12" borderId="44" xfId="0" applyFont="1" applyFill="1" applyBorder="1" applyAlignment="1" applyProtection="1">
      <alignment horizontal="center" vertical="center"/>
      <protection hidden="1"/>
    </xf>
    <xf numFmtId="0" fontId="0" fillId="0" borderId="41" xfId="0" applyBorder="1" applyProtection="1">
      <protection hidden="1"/>
    </xf>
    <xf numFmtId="0" fontId="19" fillId="9" borderId="15" xfId="0" applyFont="1" applyFill="1" applyBorder="1" applyAlignment="1" applyProtection="1">
      <alignment horizontal="center" vertical="center"/>
      <protection hidden="1"/>
    </xf>
    <xf numFmtId="0" fontId="39" fillId="12" borderId="131" xfId="0" applyFont="1" applyFill="1" applyBorder="1" applyAlignment="1" applyProtection="1">
      <alignment horizontal="center" vertical="center"/>
      <protection hidden="1"/>
    </xf>
    <xf numFmtId="0" fontId="0" fillId="0" borderId="37" xfId="0" applyBorder="1" applyProtection="1">
      <protection hidden="1"/>
    </xf>
    <xf numFmtId="0" fontId="0" fillId="0" borderId="38" xfId="0" applyBorder="1" applyProtection="1">
      <protection hidden="1"/>
    </xf>
    <xf numFmtId="0" fontId="35" fillId="8" borderId="15" xfId="0" applyFont="1" applyFill="1" applyBorder="1" applyAlignment="1" applyProtection="1">
      <alignment horizontal="center" vertical="center"/>
      <protection hidden="1"/>
    </xf>
    <xf numFmtId="0" fontId="36" fillId="0" borderId="15" xfId="0" applyFont="1" applyBorder="1" applyAlignment="1" applyProtection="1">
      <alignment horizontal="center" vertical="center"/>
      <protection hidden="1"/>
    </xf>
    <xf numFmtId="0" fontId="19" fillId="11" borderId="15" xfId="0" applyFont="1" applyFill="1" applyBorder="1" applyAlignment="1" applyProtection="1">
      <alignment horizontal="center" vertical="center"/>
      <protection hidden="1"/>
    </xf>
    <xf numFmtId="0" fontId="25" fillId="6" borderId="15" xfId="0" applyFont="1" applyFill="1" applyBorder="1" applyAlignment="1" applyProtection="1">
      <alignment horizontal="center" vertical="center"/>
      <protection hidden="1"/>
    </xf>
    <xf numFmtId="0" fontId="34" fillId="8" borderId="15" xfId="0" applyFont="1" applyFill="1" applyBorder="1" applyAlignment="1" applyProtection="1">
      <alignment horizontal="center"/>
      <protection hidden="1"/>
    </xf>
    <xf numFmtId="0" fontId="32" fillId="4" borderId="15" xfId="0" applyFont="1" applyFill="1" applyBorder="1" applyAlignment="1" applyProtection="1">
      <alignment horizontal="center"/>
      <protection hidden="1"/>
    </xf>
    <xf numFmtId="0" fontId="7" fillId="0" borderId="7" xfId="0" applyFont="1" applyBorder="1" applyAlignment="1" applyProtection="1">
      <alignment horizontal="center"/>
      <protection hidden="1"/>
    </xf>
    <xf numFmtId="0" fontId="21" fillId="0" borderId="108" xfId="0" applyFont="1" applyBorder="1" applyAlignment="1" applyProtection="1">
      <alignment horizontal="center"/>
      <protection hidden="1"/>
    </xf>
    <xf numFmtId="0" fontId="35" fillId="8" borderId="15" xfId="0" applyFont="1" applyFill="1" applyBorder="1" applyAlignment="1" applyProtection="1">
      <alignment horizontal="center"/>
      <protection hidden="1"/>
    </xf>
    <xf numFmtId="0" fontId="35" fillId="0" borderId="15" xfId="0" applyFont="1" applyBorder="1" applyAlignment="1" applyProtection="1">
      <alignment horizontal="center"/>
      <protection hidden="1"/>
    </xf>
    <xf numFmtId="0" fontId="36" fillId="0" borderId="15" xfId="0" applyFont="1" applyBorder="1" applyAlignment="1" applyProtection="1">
      <alignment horizontal="center"/>
      <protection hidden="1"/>
    </xf>
    <xf numFmtId="0" fontId="17" fillId="0" borderId="9" xfId="0" applyFont="1" applyBorder="1" applyAlignment="1" applyProtection="1">
      <alignment horizontal="center"/>
      <protection hidden="1"/>
    </xf>
    <xf numFmtId="0" fontId="7" fillId="0" borderId="9" xfId="0" applyFont="1" applyBorder="1" applyAlignment="1" applyProtection="1">
      <alignment horizontal="center"/>
      <protection hidden="1"/>
    </xf>
    <xf numFmtId="171" fontId="170" fillId="4" borderId="0" xfId="0" applyNumberFormat="1" applyFont="1" applyFill="1" applyAlignment="1" applyProtection="1">
      <alignment horizontal="center" vertical="center"/>
      <protection hidden="1"/>
    </xf>
    <xf numFmtId="167" fontId="209" fillId="4" borderId="0" xfId="2" applyNumberFormat="1" applyFont="1" applyFill="1" applyAlignment="1" applyProtection="1">
      <alignment horizontal="center" vertical="center"/>
      <protection hidden="1"/>
    </xf>
    <xf numFmtId="2" fontId="142" fillId="0" borderId="132" xfId="0" applyNumberFormat="1" applyFont="1" applyBorder="1" applyAlignment="1" applyProtection="1">
      <alignment horizontal="center" vertical="center"/>
      <protection hidden="1"/>
    </xf>
    <xf numFmtId="0" fontId="0" fillId="0" borderId="101" xfId="0" applyBorder="1" applyProtection="1">
      <protection hidden="1"/>
    </xf>
    <xf numFmtId="171" fontId="209" fillId="4" borderId="0" xfId="1" applyNumberFormat="1" applyFont="1" applyFill="1" applyAlignment="1" applyProtection="1">
      <alignment horizontal="center" vertical="center"/>
      <protection hidden="1"/>
    </xf>
    <xf numFmtId="177" fontId="212" fillId="0" borderId="110" xfId="1" applyNumberFormat="1" applyFont="1" applyBorder="1" applyAlignment="1">
      <alignment horizontal="center" vertical="center"/>
    </xf>
    <xf numFmtId="0" fontId="0" fillId="0" borderId="48" xfId="0" applyBorder="1"/>
    <xf numFmtId="177" fontId="212" fillId="0" borderId="111" xfId="1" applyNumberFormat="1" applyFont="1" applyBorder="1" applyAlignment="1">
      <alignment horizontal="center" vertical="center"/>
    </xf>
    <xf numFmtId="0" fontId="105" fillId="16" borderId="72" xfId="0" applyFont="1" applyFill="1" applyBorder="1" applyAlignment="1" applyProtection="1">
      <alignment horizontal="center" vertical="center"/>
      <protection hidden="1"/>
    </xf>
    <xf numFmtId="0" fontId="0" fillId="0" borderId="2" xfId="0" applyBorder="1" applyProtection="1">
      <protection hidden="1"/>
    </xf>
    <xf numFmtId="0" fontId="105" fillId="5" borderId="72" xfId="0" applyFont="1" applyFill="1" applyBorder="1" applyAlignment="1" applyProtection="1">
      <alignment horizontal="center" vertical="center"/>
      <protection hidden="1"/>
    </xf>
    <xf numFmtId="0" fontId="105" fillId="14" borderId="72" xfId="0" applyFont="1" applyFill="1" applyBorder="1" applyAlignment="1" applyProtection="1">
      <alignment horizontal="center" vertical="center"/>
      <protection hidden="1"/>
    </xf>
    <xf numFmtId="0" fontId="111" fillId="11" borderId="72" xfId="0" applyFont="1" applyFill="1" applyBorder="1" applyAlignment="1" applyProtection="1">
      <alignment horizontal="center" vertical="center"/>
      <protection hidden="1"/>
    </xf>
    <xf numFmtId="15" fontId="45" fillId="0" borderId="0" xfId="0" applyNumberFormat="1" applyFont="1" applyAlignment="1" applyProtection="1">
      <alignment horizontal="center" vertical="center"/>
      <protection hidden="1"/>
    </xf>
    <xf numFmtId="180" fontId="203" fillId="0" borderId="0" xfId="2" applyNumberFormat="1" applyFont="1" applyAlignment="1" applyProtection="1">
      <alignment horizontal="center" vertical="center"/>
      <protection hidden="1"/>
    </xf>
    <xf numFmtId="180" fontId="199" fillId="0" borderId="0" xfId="2" applyNumberFormat="1" applyFont="1" applyAlignment="1" applyProtection="1">
      <alignment horizontal="center" vertical="center"/>
      <protection hidden="1"/>
    </xf>
    <xf numFmtId="0" fontId="234" fillId="37" borderId="72" xfId="0" applyFont="1" applyFill="1" applyBorder="1" applyAlignment="1" applyProtection="1">
      <alignment horizontal="center" vertical="center"/>
      <protection hidden="1"/>
    </xf>
    <xf numFmtId="0" fontId="0" fillId="37" borderId="2" xfId="0" applyFill="1" applyBorder="1" applyProtection="1">
      <protection hidden="1"/>
    </xf>
    <xf numFmtId="0" fontId="105" fillId="37" borderId="72" xfId="0" applyFont="1" applyFill="1" applyBorder="1" applyAlignment="1" applyProtection="1">
      <alignment horizontal="center" vertical="center"/>
      <protection hidden="1"/>
    </xf>
    <xf numFmtId="0" fontId="111" fillId="37" borderId="72" xfId="0" applyFont="1" applyFill="1" applyBorder="1" applyAlignment="1" applyProtection="1">
      <alignment horizontal="center" vertical="center"/>
      <protection hidden="1"/>
    </xf>
    <xf numFmtId="0" fontId="19" fillId="11" borderId="22" xfId="0" applyFont="1" applyFill="1" applyBorder="1" applyAlignment="1" applyProtection="1">
      <alignment horizontal="center" vertical="center"/>
      <protection hidden="1"/>
    </xf>
    <xf numFmtId="0" fontId="32" fillId="4" borderId="72" xfId="0" applyFont="1" applyFill="1" applyBorder="1" applyAlignment="1" applyProtection="1">
      <alignment horizontal="center" vertical="center"/>
      <protection hidden="1"/>
    </xf>
    <xf numFmtId="0" fontId="0" fillId="0" borderId="79" xfId="0" applyBorder="1" applyProtection="1">
      <protection hidden="1"/>
    </xf>
    <xf numFmtId="0" fontId="25" fillId="38" borderId="15" xfId="0" applyFont="1" applyFill="1" applyBorder="1" applyAlignment="1" applyProtection="1">
      <alignment horizontal="center" vertical="center"/>
      <protection hidden="1"/>
    </xf>
    <xf numFmtId="0" fontId="0" fillId="38" borderId="53" xfId="0" applyFill="1" applyBorder="1" applyProtection="1">
      <protection hidden="1"/>
    </xf>
    <xf numFmtId="0" fontId="0" fillId="38" borderId="52" xfId="0" applyFill="1" applyBorder="1" applyProtection="1">
      <protection hidden="1"/>
    </xf>
    <xf numFmtId="0" fontId="0" fillId="38" borderId="18" xfId="0" applyFill="1" applyBorder="1" applyProtection="1">
      <protection hidden="1"/>
    </xf>
    <xf numFmtId="0" fontId="0" fillId="38" borderId="59" xfId="0" applyFill="1" applyBorder="1" applyProtection="1">
      <protection hidden="1"/>
    </xf>
    <xf numFmtId="0" fontId="0" fillId="38" borderId="58" xfId="0" applyFill="1" applyBorder="1" applyProtection="1">
      <protection hidden="1"/>
    </xf>
    <xf numFmtId="0" fontId="32" fillId="4" borderId="72" xfId="0" applyFont="1" applyFill="1" applyBorder="1" applyAlignment="1" applyProtection="1">
      <alignment horizontal="center"/>
      <protection hidden="1"/>
    </xf>
    <xf numFmtId="0" fontId="36" fillId="8" borderId="15" xfId="0" applyFont="1" applyFill="1" applyBorder="1" applyAlignment="1" applyProtection="1">
      <alignment horizontal="center"/>
      <protection hidden="1"/>
    </xf>
    <xf numFmtId="0" fontId="19" fillId="9" borderId="50" xfId="0" applyFont="1" applyFill="1" applyBorder="1" applyAlignment="1" applyProtection="1">
      <alignment horizontal="center" vertical="center"/>
      <protection hidden="1"/>
    </xf>
    <xf numFmtId="0" fontId="0" fillId="0" borderId="50" xfId="0" applyBorder="1" applyProtection="1">
      <protection hidden="1"/>
    </xf>
    <xf numFmtId="0" fontId="32" fillId="4" borderId="76" xfId="0" applyFont="1" applyFill="1" applyBorder="1" applyAlignment="1" applyProtection="1">
      <alignment horizontal="center" vertical="center"/>
      <protection hidden="1"/>
    </xf>
    <xf numFmtId="0" fontId="0" fillId="0" borderId="17" xfId="0" applyBorder="1" applyProtection="1">
      <protection hidden="1"/>
    </xf>
    <xf numFmtId="0" fontId="39" fillId="12" borderId="109" xfId="0" applyFont="1" applyFill="1" applyBorder="1" applyAlignment="1" applyProtection="1">
      <alignment horizontal="center" vertical="center"/>
      <protection hidden="1"/>
    </xf>
    <xf numFmtId="0" fontId="19" fillId="13" borderId="50" xfId="0" applyFont="1" applyFill="1" applyBorder="1" applyAlignment="1" applyProtection="1">
      <alignment horizontal="center" vertical="center"/>
      <protection hidden="1"/>
    </xf>
    <xf numFmtId="0" fontId="19" fillId="14" borderId="15" xfId="0" applyFont="1" applyFill="1" applyBorder="1" applyAlignment="1" applyProtection="1">
      <alignment horizontal="center" vertical="center"/>
      <protection hidden="1"/>
    </xf>
    <xf numFmtId="0" fontId="7" fillId="0" borderId="72" xfId="0" applyFont="1" applyBorder="1" applyAlignment="1" applyProtection="1">
      <alignment horizontal="center" vertical="center"/>
      <protection hidden="1"/>
    </xf>
    <xf numFmtId="174" fontId="171" fillId="0" borderId="0" xfId="1" applyNumberFormat="1" applyFont="1" applyAlignment="1">
      <alignment horizontal="center"/>
    </xf>
    <xf numFmtId="166" fontId="12" fillId="0" borderId="0" xfId="1" applyFont="1"/>
    <xf numFmtId="0" fontId="144" fillId="10" borderId="9" xfId="0" applyFont="1" applyFill="1" applyBorder="1" applyAlignment="1" applyProtection="1">
      <alignment horizontal="center"/>
      <protection locked="0"/>
    </xf>
    <xf numFmtId="0" fontId="0" fillId="0" borderId="9" xfId="0" applyBorder="1" applyProtection="1">
      <protection locked="0"/>
    </xf>
    <xf numFmtId="171" fontId="157" fillId="10" borderId="9" xfId="1" applyNumberFormat="1" applyFont="1" applyFill="1" applyBorder="1" applyProtection="1">
      <protection locked="0"/>
    </xf>
    <xf numFmtId="0" fontId="147" fillId="0" borderId="72" xfId="0" applyFont="1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172" fillId="0" borderId="72" xfId="0" applyFont="1" applyBorder="1" applyAlignment="1">
      <alignment horizontal="center"/>
    </xf>
    <xf numFmtId="15" fontId="152" fillId="0" borderId="0" xfId="0" applyNumberFormat="1" applyFont="1" applyAlignment="1">
      <alignment horizontal="left"/>
    </xf>
    <xf numFmtId="0" fontId="144" fillId="0" borderId="0" xfId="0" applyFont="1"/>
    <xf numFmtId="0" fontId="157" fillId="10" borderId="9" xfId="0" applyFont="1" applyFill="1" applyBorder="1" applyAlignment="1" applyProtection="1">
      <alignment horizontal="left"/>
      <protection locked="0"/>
    </xf>
    <xf numFmtId="3" fontId="173" fillId="10" borderId="9" xfId="0" applyNumberFormat="1" applyFont="1" applyFill="1" applyBorder="1" applyAlignment="1" applyProtection="1">
      <alignment horizontal="center"/>
      <protection locked="0"/>
    </xf>
    <xf numFmtId="171" fontId="157" fillId="10" borderId="9" xfId="1" applyNumberFormat="1" applyFont="1" applyFill="1" applyBorder="1" applyAlignment="1" applyProtection="1">
      <alignment horizontal="center"/>
      <protection locked="0"/>
    </xf>
    <xf numFmtId="171" fontId="156" fillId="0" borderId="0" xfId="1" applyNumberFormat="1" applyFont="1" applyAlignment="1">
      <alignment horizontal="right"/>
    </xf>
    <xf numFmtId="171" fontId="157" fillId="0" borderId="9" xfId="1" applyNumberFormat="1" applyFont="1" applyBorder="1" applyAlignment="1" applyProtection="1">
      <alignment horizontal="center"/>
      <protection hidden="1"/>
    </xf>
    <xf numFmtId="171" fontId="157" fillId="0" borderId="1" xfId="1" applyNumberFormat="1" applyFont="1" applyBorder="1" applyAlignment="1" applyProtection="1">
      <alignment horizontal="center"/>
      <protection hidden="1"/>
    </xf>
    <xf numFmtId="0" fontId="152" fillId="0" borderId="71" xfId="0" applyFont="1" applyBorder="1" applyAlignment="1">
      <alignment horizontal="center"/>
    </xf>
    <xf numFmtId="0" fontId="0" fillId="0" borderId="71" xfId="0" applyBorder="1"/>
    <xf numFmtId="166" fontId="157" fillId="10" borderId="9" xfId="1" applyFont="1" applyFill="1" applyBorder="1" applyAlignment="1" applyProtection="1">
      <alignment horizontal="center"/>
      <protection locked="0"/>
    </xf>
    <xf numFmtId="166" fontId="152" fillId="0" borderId="71" xfId="0" applyNumberFormat="1" applyFont="1" applyBorder="1" applyAlignment="1">
      <alignment horizontal="center"/>
    </xf>
    <xf numFmtId="0" fontId="157" fillId="10" borderId="9" xfId="0" applyFont="1" applyFill="1" applyBorder="1" applyAlignment="1" applyProtection="1">
      <alignment horizontal="center"/>
      <protection locked="0"/>
    </xf>
    <xf numFmtId="15" fontId="157" fillId="10" borderId="9" xfId="0" applyNumberFormat="1" applyFont="1" applyFill="1" applyBorder="1" applyAlignment="1" applyProtection="1">
      <alignment horizontal="center"/>
      <protection locked="0"/>
    </xf>
    <xf numFmtId="0" fontId="147" fillId="0" borderId="0" xfId="0" applyFont="1" applyAlignment="1">
      <alignment horizontal="center"/>
    </xf>
    <xf numFmtId="171" fontId="159" fillId="0" borderId="0" xfId="1" applyNumberFormat="1" applyFont="1" applyAlignment="1">
      <alignment horizontal="center"/>
    </xf>
    <xf numFmtId="2" fontId="160" fillId="10" borderId="9" xfId="0" applyNumberFormat="1" applyFont="1" applyFill="1" applyBorder="1" applyAlignment="1" applyProtection="1">
      <alignment horizontal="center"/>
      <protection locked="0"/>
    </xf>
    <xf numFmtId="166" fontId="157" fillId="10" borderId="1" xfId="1" applyFont="1" applyFill="1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166" fontId="152" fillId="0" borderId="71" xfId="0" applyNumberFormat="1" applyFont="1" applyBorder="1" applyAlignment="1" applyProtection="1">
      <alignment horizontal="center"/>
      <protection hidden="1"/>
    </xf>
    <xf numFmtId="0" fontId="0" fillId="0" borderId="71" xfId="0" applyBorder="1" applyProtection="1">
      <protection hidden="1"/>
    </xf>
    <xf numFmtId="0" fontId="157" fillId="10" borderId="9" xfId="0" applyFont="1" applyFill="1" applyBorder="1" applyAlignment="1" applyProtection="1">
      <alignment horizontal="left"/>
      <protection hidden="1"/>
    </xf>
    <xf numFmtId="166" fontId="157" fillId="10" borderId="9" xfId="1" applyFont="1" applyFill="1" applyBorder="1" applyAlignment="1" applyProtection="1">
      <alignment horizontal="center"/>
      <protection hidden="1"/>
    </xf>
    <xf numFmtId="15" fontId="152" fillId="0" borderId="0" xfId="0" applyNumberFormat="1" applyFont="1" applyAlignment="1" applyProtection="1">
      <alignment horizontal="left"/>
      <protection hidden="1"/>
    </xf>
    <xf numFmtId="3" fontId="173" fillId="10" borderId="9" xfId="0" applyNumberFormat="1" applyFont="1" applyFill="1" applyBorder="1" applyAlignment="1" applyProtection="1">
      <alignment horizontal="center"/>
      <protection hidden="1"/>
    </xf>
    <xf numFmtId="0" fontId="144" fillId="10" borderId="9" xfId="0" applyFont="1" applyFill="1" applyBorder="1" applyAlignment="1" applyProtection="1">
      <alignment horizontal="center"/>
      <protection hidden="1"/>
    </xf>
    <xf numFmtId="171" fontId="157" fillId="10" borderId="9" xfId="1" applyNumberFormat="1" applyFont="1" applyFill="1" applyBorder="1" applyAlignment="1" applyProtection="1">
      <alignment horizontal="center"/>
      <protection hidden="1"/>
    </xf>
    <xf numFmtId="0" fontId="157" fillId="10" borderId="9" xfId="0" applyFont="1" applyFill="1" applyBorder="1" applyAlignment="1" applyProtection="1">
      <alignment horizontal="center"/>
      <protection hidden="1"/>
    </xf>
    <xf numFmtId="171" fontId="157" fillId="10" borderId="9" xfId="1" applyNumberFormat="1" applyFont="1" applyFill="1" applyBorder="1" applyProtection="1">
      <protection hidden="1"/>
    </xf>
    <xf numFmtId="0" fontId="152" fillId="0" borderId="71" xfId="0" applyFont="1" applyBorder="1" applyAlignment="1" applyProtection="1">
      <alignment horizontal="center"/>
      <protection hidden="1"/>
    </xf>
    <xf numFmtId="171" fontId="157" fillId="10" borderId="1" xfId="1" applyNumberFormat="1" applyFont="1" applyFill="1" applyBorder="1" applyAlignment="1" applyProtection="1">
      <alignment horizontal="center"/>
      <protection hidden="1"/>
    </xf>
    <xf numFmtId="15" fontId="157" fillId="10" borderId="9" xfId="0" applyNumberFormat="1" applyFont="1" applyFill="1" applyBorder="1" applyAlignment="1" applyProtection="1">
      <alignment horizontal="center"/>
      <protection hidden="1"/>
    </xf>
    <xf numFmtId="171" fontId="156" fillId="0" borderId="0" xfId="1" applyNumberFormat="1" applyFont="1" applyAlignment="1" applyProtection="1">
      <alignment horizontal="right"/>
      <protection hidden="1"/>
    </xf>
    <xf numFmtId="0" fontId="147" fillId="0" borderId="0" xfId="0" applyFont="1" applyAlignment="1" applyProtection="1">
      <alignment horizontal="center"/>
      <protection hidden="1"/>
    </xf>
    <xf numFmtId="171" fontId="159" fillId="0" borderId="0" xfId="1" applyNumberFormat="1" applyFont="1" applyAlignment="1" applyProtection="1">
      <alignment horizontal="center"/>
      <protection hidden="1"/>
    </xf>
    <xf numFmtId="2" fontId="160" fillId="10" borderId="9" xfId="0" applyNumberFormat="1" applyFont="1" applyFill="1" applyBorder="1" applyAlignment="1" applyProtection="1">
      <alignment horizontal="center"/>
      <protection hidden="1"/>
    </xf>
    <xf numFmtId="166" fontId="157" fillId="10" borderId="1" xfId="1" applyFont="1" applyFill="1" applyBorder="1" applyAlignment="1" applyProtection="1">
      <alignment horizontal="center"/>
      <protection hidden="1"/>
    </xf>
    <xf numFmtId="0" fontId="19" fillId="37" borderId="50" xfId="0" applyFont="1" applyFill="1" applyBorder="1" applyAlignment="1" applyProtection="1">
      <alignment horizontal="center" vertical="center"/>
      <protection hidden="1"/>
    </xf>
    <xf numFmtId="0" fontId="19" fillId="37" borderId="0" xfId="0" applyFont="1" applyFill="1" applyBorder="1" applyAlignment="1" applyProtection="1">
      <alignment horizontal="center" vertical="center"/>
      <protection hidden="1"/>
    </xf>
    <xf numFmtId="0" fontId="0" fillId="37" borderId="0" xfId="0" applyFill="1" applyProtection="1">
      <protection hidden="1"/>
    </xf>
    <xf numFmtId="0" fontId="0" fillId="37" borderId="50" xfId="0" applyFill="1" applyBorder="1" applyProtection="1">
      <protection hidden="1"/>
    </xf>
    <xf numFmtId="0" fontId="25" fillId="37" borderId="15" xfId="0" applyFont="1" applyFill="1" applyBorder="1" applyAlignment="1" applyProtection="1">
      <alignment horizontal="center" vertical="center"/>
      <protection hidden="1"/>
    </xf>
    <xf numFmtId="0" fontId="0" fillId="37" borderId="53" xfId="0" applyFill="1" applyBorder="1" applyProtection="1">
      <protection hidden="1"/>
    </xf>
    <xf numFmtId="0" fontId="0" fillId="37" borderId="52" xfId="0" applyFill="1" applyBorder="1" applyProtection="1">
      <protection hidden="1"/>
    </xf>
    <xf numFmtId="0" fontId="0" fillId="37" borderId="18" xfId="0" applyFill="1" applyBorder="1" applyProtection="1">
      <protection hidden="1"/>
    </xf>
    <xf numFmtId="0" fontId="0" fillId="37" borderId="59" xfId="0" applyFill="1" applyBorder="1" applyProtection="1">
      <protection hidden="1"/>
    </xf>
    <xf numFmtId="0" fontId="0" fillId="37" borderId="58" xfId="0" applyFill="1" applyBorder="1" applyProtection="1">
      <protection hidden="1"/>
    </xf>
    <xf numFmtId="0" fontId="32" fillId="4" borderId="76" xfId="0" applyFont="1" applyFill="1" applyBorder="1" applyAlignment="1" applyProtection="1">
      <alignment horizontal="center"/>
      <protection hidden="1"/>
    </xf>
    <xf numFmtId="0" fontId="25" fillId="29" borderId="15" xfId="0" applyFont="1" applyFill="1" applyBorder="1" applyAlignment="1" applyProtection="1">
      <alignment horizontal="center" vertical="center"/>
      <protection hidden="1"/>
    </xf>
    <xf numFmtId="0" fontId="0" fillId="29" borderId="53" xfId="0" applyFill="1" applyBorder="1" applyProtection="1">
      <protection hidden="1"/>
    </xf>
    <xf numFmtId="0" fontId="0" fillId="29" borderId="52" xfId="0" applyFill="1" applyBorder="1" applyProtection="1">
      <protection hidden="1"/>
    </xf>
    <xf numFmtId="0" fontId="0" fillId="29" borderId="18" xfId="0" applyFill="1" applyBorder="1" applyProtection="1">
      <protection hidden="1"/>
    </xf>
    <xf numFmtId="0" fontId="0" fillId="29" borderId="59" xfId="0" applyFill="1" applyBorder="1" applyProtection="1">
      <protection hidden="1"/>
    </xf>
    <xf numFmtId="0" fontId="0" fillId="29" borderId="58" xfId="0" applyFill="1" applyBorder="1" applyProtection="1">
      <protection hidden="1"/>
    </xf>
    <xf numFmtId="184" fontId="238" fillId="23" borderId="22" xfId="2" applyNumberFormat="1" applyFont="1" applyFill="1" applyBorder="1" applyAlignment="1" applyProtection="1">
      <alignment horizontal="center" vertical="center"/>
      <protection hidden="1"/>
    </xf>
    <xf numFmtId="0" fontId="240" fillId="0" borderId="21" xfId="0" applyFont="1" applyBorder="1" applyProtection="1">
      <protection hidden="1"/>
    </xf>
    <xf numFmtId="184" fontId="238" fillId="23" borderId="20" xfId="2" applyNumberFormat="1" applyFont="1" applyFill="1" applyBorder="1" applyAlignment="1" applyProtection="1">
      <alignment horizontal="center" vertical="center"/>
      <protection hidden="1"/>
    </xf>
    <xf numFmtId="0" fontId="240" fillId="0" borderId="20" xfId="0" applyFont="1" applyBorder="1" applyProtection="1">
      <protection hidden="1"/>
    </xf>
    <xf numFmtId="171" fontId="242" fillId="0" borderId="50" xfId="1" applyNumberFormat="1" applyFont="1" applyBorder="1" applyAlignment="1" applyProtection="1">
      <alignment horizontal="center" vertical="center"/>
      <protection hidden="1"/>
    </xf>
    <xf numFmtId="0" fontId="240" fillId="0" borderId="0" xfId="0" applyFont="1" applyProtection="1">
      <protection hidden="1"/>
    </xf>
  </cellXfs>
  <cellStyles count="4">
    <cellStyle name="Millares" xfId="1" builtinId="3"/>
    <cellStyle name="Moneda" xfId="2" builtinId="4"/>
    <cellStyle name="Normal" xfId="0" builtinId="0"/>
    <cellStyle name="Porcentaje" xfId="3" builtinId="5"/>
  </cellStyles>
  <dxfs count="14">
    <dxf>
      <font>
        <b/>
        <color theme="2"/>
      </font>
      <fill>
        <patternFill>
          <bgColor rgb="FFFF000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theme="0" tint="-0.499984740745262"/>
      </font>
      <fill>
        <patternFill>
          <bgColor indexed="65"/>
        </patternFill>
      </fill>
      <border>
        <left/>
        <right/>
        <top/>
        <bottom/>
      </border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</dxf>
  </dxfs>
  <tableStyles count="0" defaultTableStyle="TableStyleMedium9" defaultPivotStyle="PivotStyleLight16"/>
  <colors>
    <mruColors>
      <color rgb="FFFFFF66"/>
      <color rgb="FFFFFF99"/>
      <color rgb="FF00FFFF"/>
      <color rgb="FFFF00FF"/>
      <color rgb="FFFF3300"/>
      <color rgb="FFCC99FF"/>
      <color rgb="FF1C8E9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5.5179174796329368E-2"/>
          <c:y val="3.1545802063184823E-2"/>
          <c:w val="0.81607095356676884"/>
          <c:h val="0.9306011608639515"/>
        </c:manualLayout>
      </c:layout>
      <c:lineChart>
        <c:grouping val="standard"/>
        <c:varyColors val="0"/>
        <c:ser>
          <c:idx val="0"/>
          <c:order val="0"/>
          <c:tx>
            <c:strRef>
              <c:f>Alq.!$B$2</c:f>
              <c:strCache>
                <c:ptCount val="1"/>
                <c:pt idx="0">
                  <c:v>Rinde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val>
            <c:numRef>
              <c:f>Alq.!$B$3:$B$33</c:f>
              <c:numCache>
                <c:formatCode>#,##0</c:formatCode>
                <c:ptCount val="31"/>
                <c:pt idx="0">
                  <c:v>20</c:v>
                </c:pt>
                <c:pt idx="1">
                  <c:v>21</c:v>
                </c:pt>
                <c:pt idx="2">
                  <c:v>22</c:v>
                </c:pt>
                <c:pt idx="3">
                  <c:v>23</c:v>
                </c:pt>
                <c:pt idx="4">
                  <c:v>24</c:v>
                </c:pt>
                <c:pt idx="5">
                  <c:v>25</c:v>
                </c:pt>
                <c:pt idx="6">
                  <c:v>26</c:v>
                </c:pt>
                <c:pt idx="7">
                  <c:v>27</c:v>
                </c:pt>
                <c:pt idx="8">
                  <c:v>28</c:v>
                </c:pt>
                <c:pt idx="9">
                  <c:v>29</c:v>
                </c:pt>
                <c:pt idx="10">
                  <c:v>30</c:v>
                </c:pt>
                <c:pt idx="11">
                  <c:v>31</c:v>
                </c:pt>
                <c:pt idx="12">
                  <c:v>32</c:v>
                </c:pt>
                <c:pt idx="13">
                  <c:v>33</c:v>
                </c:pt>
                <c:pt idx="14">
                  <c:v>34</c:v>
                </c:pt>
                <c:pt idx="15">
                  <c:v>35</c:v>
                </c:pt>
                <c:pt idx="16">
                  <c:v>36</c:v>
                </c:pt>
                <c:pt idx="17">
                  <c:v>37</c:v>
                </c:pt>
                <c:pt idx="18">
                  <c:v>38</c:v>
                </c:pt>
                <c:pt idx="19">
                  <c:v>39</c:v>
                </c:pt>
                <c:pt idx="20">
                  <c:v>40</c:v>
                </c:pt>
                <c:pt idx="21">
                  <c:v>41</c:v>
                </c:pt>
                <c:pt idx="22">
                  <c:v>42</c:v>
                </c:pt>
                <c:pt idx="23">
                  <c:v>43</c:v>
                </c:pt>
                <c:pt idx="24">
                  <c:v>44</c:v>
                </c:pt>
                <c:pt idx="25">
                  <c:v>45</c:v>
                </c:pt>
                <c:pt idx="26">
                  <c:v>46</c:v>
                </c:pt>
                <c:pt idx="27">
                  <c:v>47</c:v>
                </c:pt>
                <c:pt idx="28">
                  <c:v>48</c:v>
                </c:pt>
                <c:pt idx="29">
                  <c:v>49</c:v>
                </c:pt>
                <c:pt idx="30">
                  <c:v>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33-4B2B-A42E-462E68175BA0}"/>
            </c:ext>
          </c:extLst>
        </c:ser>
        <c:ser>
          <c:idx val="1"/>
          <c:order val="1"/>
          <c:tx>
            <c:strRef>
              <c:f>Alq.!$G$2</c:f>
              <c:strCache>
                <c:ptCount val="1"/>
                <c:pt idx="0">
                  <c:v>Dueño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none"/>
          </c:marker>
          <c:val>
            <c:numRef>
              <c:f>Alq.!$G$3:$G$33</c:f>
              <c:numCache>
                <c:formatCode>#,##0</c:formatCode>
                <c:ptCount val="31"/>
                <c:pt idx="0">
                  <c:v>18</c:v>
                </c:pt>
                <c:pt idx="1">
                  <c:v>18</c:v>
                </c:pt>
                <c:pt idx="2">
                  <c:v>18</c:v>
                </c:pt>
                <c:pt idx="3">
                  <c:v>18</c:v>
                </c:pt>
                <c:pt idx="4">
                  <c:v>18</c:v>
                </c:pt>
                <c:pt idx="5">
                  <c:v>18</c:v>
                </c:pt>
                <c:pt idx="6">
                  <c:v>18</c:v>
                </c:pt>
                <c:pt idx="7">
                  <c:v>18</c:v>
                </c:pt>
                <c:pt idx="8">
                  <c:v>18</c:v>
                </c:pt>
                <c:pt idx="9">
                  <c:v>18</c:v>
                </c:pt>
                <c:pt idx="10">
                  <c:v>18</c:v>
                </c:pt>
                <c:pt idx="11">
                  <c:v>18</c:v>
                </c:pt>
                <c:pt idx="12">
                  <c:v>18</c:v>
                </c:pt>
                <c:pt idx="13">
                  <c:v>18</c:v>
                </c:pt>
                <c:pt idx="14">
                  <c:v>18</c:v>
                </c:pt>
                <c:pt idx="15">
                  <c:v>18</c:v>
                </c:pt>
                <c:pt idx="16">
                  <c:v>18</c:v>
                </c:pt>
                <c:pt idx="17">
                  <c:v>18</c:v>
                </c:pt>
                <c:pt idx="18">
                  <c:v>18</c:v>
                </c:pt>
                <c:pt idx="19">
                  <c:v>18</c:v>
                </c:pt>
                <c:pt idx="20">
                  <c:v>18</c:v>
                </c:pt>
                <c:pt idx="21">
                  <c:v>18</c:v>
                </c:pt>
                <c:pt idx="22">
                  <c:v>18</c:v>
                </c:pt>
                <c:pt idx="23">
                  <c:v>18</c:v>
                </c:pt>
                <c:pt idx="24">
                  <c:v>18</c:v>
                </c:pt>
                <c:pt idx="25">
                  <c:v>18</c:v>
                </c:pt>
                <c:pt idx="26">
                  <c:v>18</c:v>
                </c:pt>
                <c:pt idx="27">
                  <c:v>18</c:v>
                </c:pt>
                <c:pt idx="28">
                  <c:v>18</c:v>
                </c:pt>
                <c:pt idx="29">
                  <c:v>18</c:v>
                </c:pt>
                <c:pt idx="30">
                  <c:v>18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333-4B2B-A42E-462E68175BA0}"/>
            </c:ext>
          </c:extLst>
        </c:ser>
        <c:ser>
          <c:idx val="2"/>
          <c:order val="2"/>
          <c:tx>
            <c:strRef>
              <c:f>Alq.!$H$2</c:f>
              <c:strCache>
                <c:ptCount val="1"/>
                <c:pt idx="0">
                  <c:v>Dueño*</c:v>
                </c:pt>
              </c:strCache>
            </c:strRef>
          </c:tx>
          <c:spPr>
            <a:ln w="76200">
              <a:solidFill>
                <a:srgbClr val="FF0000"/>
              </a:solidFill>
              <a:prstDash val="solid"/>
            </a:ln>
          </c:spPr>
          <c:marker>
            <c:symbol val="none"/>
          </c:marker>
          <c:val>
            <c:numRef>
              <c:f>Alq.!$H$3:$H$33</c:f>
              <c:numCache>
                <c:formatCode>General</c:formatCode>
                <c:ptCount val="31"/>
                <c:pt idx="0">
                  <c:v>12</c:v>
                </c:pt>
                <c:pt idx="1">
                  <c:v>12</c:v>
                </c:pt>
                <c:pt idx="2">
                  <c:v>12</c:v>
                </c:pt>
                <c:pt idx="3">
                  <c:v>12</c:v>
                </c:pt>
                <c:pt idx="4">
                  <c:v>12</c:v>
                </c:pt>
                <c:pt idx="5">
                  <c:v>12.5</c:v>
                </c:pt>
                <c:pt idx="6">
                  <c:v>13</c:v>
                </c:pt>
                <c:pt idx="7">
                  <c:v>13.5</c:v>
                </c:pt>
                <c:pt idx="8">
                  <c:v>14</c:v>
                </c:pt>
                <c:pt idx="9">
                  <c:v>14.5</c:v>
                </c:pt>
                <c:pt idx="10">
                  <c:v>15</c:v>
                </c:pt>
                <c:pt idx="11">
                  <c:v>15.5</c:v>
                </c:pt>
                <c:pt idx="12">
                  <c:v>16</c:v>
                </c:pt>
                <c:pt idx="13">
                  <c:v>16.5</c:v>
                </c:pt>
                <c:pt idx="14">
                  <c:v>17</c:v>
                </c:pt>
                <c:pt idx="15">
                  <c:v>17.5</c:v>
                </c:pt>
                <c:pt idx="16">
                  <c:v>18</c:v>
                </c:pt>
                <c:pt idx="17">
                  <c:v>18.5</c:v>
                </c:pt>
                <c:pt idx="18">
                  <c:v>19</c:v>
                </c:pt>
                <c:pt idx="19">
                  <c:v>19.5</c:v>
                </c:pt>
                <c:pt idx="20">
                  <c:v>20</c:v>
                </c:pt>
                <c:pt idx="21">
                  <c:v>20.5</c:v>
                </c:pt>
                <c:pt idx="22">
                  <c:v>21</c:v>
                </c:pt>
                <c:pt idx="23">
                  <c:v>21.5</c:v>
                </c:pt>
                <c:pt idx="24">
                  <c:v>22</c:v>
                </c:pt>
                <c:pt idx="25">
                  <c:v>22.5</c:v>
                </c:pt>
                <c:pt idx="26">
                  <c:v>23</c:v>
                </c:pt>
                <c:pt idx="27">
                  <c:v>23.5</c:v>
                </c:pt>
                <c:pt idx="28">
                  <c:v>24</c:v>
                </c:pt>
                <c:pt idx="29">
                  <c:v>24.5</c:v>
                </c:pt>
                <c:pt idx="30">
                  <c:v>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333-4B2B-A42E-462E68175BA0}"/>
            </c:ext>
          </c:extLst>
        </c:ser>
        <c:ser>
          <c:idx val="3"/>
          <c:order val="3"/>
          <c:tx>
            <c:strRef>
              <c:f>Alq.!$I$2</c:f>
              <c:strCache>
                <c:ptCount val="1"/>
                <c:pt idx="0">
                  <c:v>Productor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none"/>
          </c:marker>
          <c:val>
            <c:numRef>
              <c:f>Alq.!$I$3:$I$33</c:f>
              <c:numCache>
                <c:formatCode>#,##0</c:formatCode>
                <c:ptCount val="31"/>
                <c:pt idx="0">
                  <c:v>-10</c:v>
                </c:pt>
                <c:pt idx="1">
                  <c:v>-9</c:v>
                </c:pt>
                <c:pt idx="2">
                  <c:v>-8</c:v>
                </c:pt>
                <c:pt idx="3">
                  <c:v>-7</c:v>
                </c:pt>
                <c:pt idx="4">
                  <c:v>-6</c:v>
                </c:pt>
                <c:pt idx="5">
                  <c:v>-5</c:v>
                </c:pt>
                <c:pt idx="6">
                  <c:v>-4</c:v>
                </c:pt>
                <c:pt idx="7">
                  <c:v>-3</c:v>
                </c:pt>
                <c:pt idx="8">
                  <c:v>-2</c:v>
                </c:pt>
                <c:pt idx="9">
                  <c:v>-1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  <c:pt idx="13">
                  <c:v>3</c:v>
                </c:pt>
                <c:pt idx="14">
                  <c:v>4</c:v>
                </c:pt>
                <c:pt idx="15">
                  <c:v>5</c:v>
                </c:pt>
                <c:pt idx="16">
                  <c:v>6</c:v>
                </c:pt>
                <c:pt idx="17">
                  <c:v>7</c:v>
                </c:pt>
                <c:pt idx="18">
                  <c:v>8</c:v>
                </c:pt>
                <c:pt idx="19">
                  <c:v>9</c:v>
                </c:pt>
                <c:pt idx="20">
                  <c:v>10</c:v>
                </c:pt>
                <c:pt idx="21">
                  <c:v>11</c:v>
                </c:pt>
                <c:pt idx="22">
                  <c:v>12</c:v>
                </c:pt>
                <c:pt idx="23">
                  <c:v>13</c:v>
                </c:pt>
                <c:pt idx="24">
                  <c:v>14</c:v>
                </c:pt>
                <c:pt idx="25">
                  <c:v>15</c:v>
                </c:pt>
                <c:pt idx="26">
                  <c:v>16</c:v>
                </c:pt>
                <c:pt idx="27">
                  <c:v>17</c:v>
                </c:pt>
                <c:pt idx="28">
                  <c:v>18</c:v>
                </c:pt>
                <c:pt idx="29">
                  <c:v>19</c:v>
                </c:pt>
                <c:pt idx="30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333-4B2B-A42E-462E68175BA0}"/>
            </c:ext>
          </c:extLst>
        </c:ser>
        <c:ser>
          <c:idx val="4"/>
          <c:order val="4"/>
          <c:tx>
            <c:strRef>
              <c:f>Alq.!$J$2</c:f>
              <c:strCache>
                <c:ptCount val="1"/>
                <c:pt idx="0">
                  <c:v>Productor*</c:v>
                </c:pt>
              </c:strCache>
            </c:strRef>
          </c:tx>
          <c:spPr>
            <a:ln w="76200">
              <a:solidFill>
                <a:srgbClr val="0000FF"/>
              </a:solidFill>
              <a:prstDash val="solid"/>
            </a:ln>
          </c:spPr>
          <c:marker>
            <c:symbol val="none"/>
          </c:marker>
          <c:val>
            <c:numRef>
              <c:f>Alq.!$J$3:$J$33</c:f>
              <c:numCache>
                <c:formatCode>#,##0</c:formatCode>
                <c:ptCount val="31"/>
                <c:pt idx="0">
                  <c:v>-4</c:v>
                </c:pt>
                <c:pt idx="1">
                  <c:v>-3</c:v>
                </c:pt>
                <c:pt idx="2">
                  <c:v>-2</c:v>
                </c:pt>
                <c:pt idx="3">
                  <c:v>-1</c:v>
                </c:pt>
                <c:pt idx="4">
                  <c:v>0</c:v>
                </c:pt>
                <c:pt idx="5">
                  <c:v>0.5</c:v>
                </c:pt>
                <c:pt idx="6">
                  <c:v>1</c:v>
                </c:pt>
                <c:pt idx="7">
                  <c:v>1.5</c:v>
                </c:pt>
                <c:pt idx="8">
                  <c:v>2</c:v>
                </c:pt>
                <c:pt idx="9">
                  <c:v>2.5</c:v>
                </c:pt>
                <c:pt idx="10">
                  <c:v>3</c:v>
                </c:pt>
                <c:pt idx="11">
                  <c:v>3.5</c:v>
                </c:pt>
                <c:pt idx="12">
                  <c:v>4</c:v>
                </c:pt>
                <c:pt idx="13">
                  <c:v>4.5</c:v>
                </c:pt>
                <c:pt idx="14">
                  <c:v>5</c:v>
                </c:pt>
                <c:pt idx="15">
                  <c:v>5.5</c:v>
                </c:pt>
                <c:pt idx="16">
                  <c:v>6</c:v>
                </c:pt>
                <c:pt idx="17">
                  <c:v>6.5</c:v>
                </c:pt>
                <c:pt idx="18">
                  <c:v>7</c:v>
                </c:pt>
                <c:pt idx="19">
                  <c:v>7.5</c:v>
                </c:pt>
                <c:pt idx="20">
                  <c:v>8</c:v>
                </c:pt>
                <c:pt idx="21">
                  <c:v>8.5</c:v>
                </c:pt>
                <c:pt idx="22">
                  <c:v>9</c:v>
                </c:pt>
                <c:pt idx="23">
                  <c:v>9.5</c:v>
                </c:pt>
                <c:pt idx="24">
                  <c:v>10</c:v>
                </c:pt>
                <c:pt idx="25">
                  <c:v>10.5</c:v>
                </c:pt>
                <c:pt idx="26">
                  <c:v>11</c:v>
                </c:pt>
                <c:pt idx="27">
                  <c:v>11.5</c:v>
                </c:pt>
                <c:pt idx="28">
                  <c:v>12</c:v>
                </c:pt>
                <c:pt idx="29">
                  <c:v>12.5</c:v>
                </c:pt>
                <c:pt idx="30">
                  <c:v>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333-4B2B-A42E-462E68175B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8678784"/>
        <c:axId val="218680320"/>
      </c:lineChart>
      <c:catAx>
        <c:axId val="21867878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AR"/>
          </a:p>
        </c:txPr>
        <c:crossAx val="218680320"/>
        <c:crosses val="autoZero"/>
        <c:auto val="1"/>
        <c:lblAlgn val="ctr"/>
        <c:lblOffset val="100"/>
        <c:noMultiLvlLbl val="0"/>
      </c:catAx>
      <c:valAx>
        <c:axId val="218680320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AR"/>
          </a:p>
        </c:txPr>
        <c:crossAx val="21867878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87221818406127949"/>
          <c:y val="0.37381775444873983"/>
          <c:w val="0.113262516687203"/>
          <c:h val="0.24290267588652359"/>
        </c:manualLayout>
      </c:layout>
      <c:overlay val="0"/>
      <c:txPr>
        <a:bodyPr/>
        <a:lstStyle/>
        <a:p>
          <a:pPr>
            <a:defRPr sz="110" b="0" i="0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AR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2306782</xdr:colOff>
      <xdr:row>1</xdr:row>
      <xdr:rowOff>48490</xdr:rowOff>
    </xdr:from>
    <xdr:to>
      <xdr:col>2</xdr:col>
      <xdr:colOff>3610345</xdr:colOff>
      <xdr:row>3</xdr:row>
      <xdr:rowOff>198581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30BC58-D61C-477E-8B2B-AEAAFD88BF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96491" y="367145"/>
          <a:ext cx="1303563" cy="489527"/>
        </a:xfrm>
        <a:prstGeom prst="rect">
          <a:avLst/>
        </a:prstGeom>
      </xdr:spPr>
    </xdr:pic>
    <xdr:clientData/>
  </xdr:twoCellAnchor>
  <xdr:twoCellAnchor editAs="oneCell">
    <xdr:from>
      <xdr:col>7</xdr:col>
      <xdr:colOff>277089</xdr:colOff>
      <xdr:row>0</xdr:row>
      <xdr:rowOff>207988</xdr:rowOff>
    </xdr:from>
    <xdr:to>
      <xdr:col>9</xdr:col>
      <xdr:colOff>644236</xdr:colOff>
      <xdr:row>4</xdr:row>
      <xdr:rowOff>18472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9505470-3B74-4D4B-A91D-3E882C93B0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63544" y="207988"/>
          <a:ext cx="1856510" cy="6971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220134</xdr:colOff>
      <xdr:row>3</xdr:row>
      <xdr:rowOff>25401</xdr:rowOff>
    </xdr:from>
    <xdr:to>
      <xdr:col>4</xdr:col>
      <xdr:colOff>1103936</xdr:colOff>
      <xdr:row>4</xdr:row>
      <xdr:rowOff>162561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13D9614-58E4-44E7-911B-B92482ACC9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3001" y="728134"/>
          <a:ext cx="883802" cy="331894"/>
        </a:xfrm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1</xdr:row>
      <xdr:rowOff>9525</xdr:rowOff>
    </xdr:from>
    <xdr:to>
      <xdr:col>17</xdr:col>
      <xdr:colOff>140852</xdr:colOff>
      <xdr:row>1</xdr:row>
      <xdr:rowOff>346710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4656B1B-0E12-475F-BDEC-1FA808D15B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401800" y="180975"/>
          <a:ext cx="883802" cy="33718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160020</xdr:colOff>
      <xdr:row>0</xdr:row>
      <xdr:rowOff>45720</xdr:rowOff>
    </xdr:from>
    <xdr:to>
      <xdr:col>10</xdr:col>
      <xdr:colOff>916527</xdr:colOff>
      <xdr:row>2</xdr:row>
      <xdr:rowOff>84462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83BCE1-2693-4006-96F2-8F4E667CA6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32220" y="45720"/>
          <a:ext cx="1503267" cy="56452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538692</xdr:colOff>
      <xdr:row>6</xdr:row>
      <xdr:rowOff>198120</xdr:rowOff>
    </xdr:from>
    <xdr:to>
      <xdr:col>8</xdr:col>
      <xdr:colOff>61189</xdr:colOff>
      <xdr:row>10</xdr:row>
      <xdr:rowOff>144780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3D2E453-733A-4BF0-AB3E-C7DF20E63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47852" y="1188720"/>
          <a:ext cx="1785637" cy="67056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548640</xdr:colOff>
      <xdr:row>6</xdr:row>
      <xdr:rowOff>203908</xdr:rowOff>
    </xdr:from>
    <xdr:to>
      <xdr:col>8</xdr:col>
      <xdr:colOff>73791</xdr:colOff>
      <xdr:row>10</xdr:row>
      <xdr:rowOff>68580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3EFD689-2564-44D7-9541-725D945F5A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63540" y="1194508"/>
          <a:ext cx="1567311" cy="588572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495300</xdr:colOff>
      <xdr:row>6</xdr:row>
      <xdr:rowOff>144780</xdr:rowOff>
    </xdr:from>
    <xdr:to>
      <xdr:col>8</xdr:col>
      <xdr:colOff>45881</xdr:colOff>
      <xdr:row>10</xdr:row>
      <xdr:rowOff>121920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F199C74-48E6-4E9C-B6B5-145E12C257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06440" y="1135380"/>
          <a:ext cx="1684181" cy="70104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643466</xdr:colOff>
      <xdr:row>6</xdr:row>
      <xdr:rowOff>110066</xdr:rowOff>
    </xdr:from>
    <xdr:to>
      <xdr:col>8</xdr:col>
      <xdr:colOff>16933</xdr:colOff>
      <xdr:row>11</xdr:row>
      <xdr:rowOff>97187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F86D205-D730-4E32-8A9A-6A83EB36D1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48866" y="1109133"/>
          <a:ext cx="2125134" cy="884587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411480</xdr:colOff>
      <xdr:row>40</xdr:row>
      <xdr:rowOff>22860</xdr:rowOff>
    </xdr:from>
    <xdr:to>
      <xdr:col>12</xdr:col>
      <xdr:colOff>93997</xdr:colOff>
      <xdr:row>43</xdr:row>
      <xdr:rowOff>175260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69718D1-035E-447A-82F9-852E0C22F7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833360" y="6941820"/>
          <a:ext cx="1785637" cy="670560"/>
        </a:xfrm>
        <a:prstGeom prst="rect">
          <a:avLst/>
        </a:prstGeom>
      </xdr:spPr>
    </xdr:pic>
    <xdr:clientData/>
  </xdr:twoCellAnchor>
  <xdr:twoCellAnchor editAs="oneCell">
    <xdr:from>
      <xdr:col>5</xdr:col>
      <xdr:colOff>556260</xdr:colOff>
      <xdr:row>6</xdr:row>
      <xdr:rowOff>83820</xdr:rowOff>
    </xdr:from>
    <xdr:to>
      <xdr:col>8</xdr:col>
      <xdr:colOff>63087</xdr:colOff>
      <xdr:row>10</xdr:row>
      <xdr:rowOff>144780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0BFA10D-7C04-44D7-99B3-12979E3BA7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94960" y="1074420"/>
          <a:ext cx="2090007" cy="78486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281940</xdr:colOff>
      <xdr:row>6</xdr:row>
      <xdr:rowOff>106680</xdr:rowOff>
    </xdr:from>
    <xdr:to>
      <xdr:col>11</xdr:col>
      <xdr:colOff>762000</xdr:colOff>
      <xdr:row>10</xdr:row>
      <xdr:rowOff>99060</xdr:rowOff>
    </xdr:to>
    <xdr:pic>
      <xdr:nvPicPr>
        <xdr:cNvPr id="7176" name="1 Imagen" descr="isologotipo UNION 2 (2).jpg">
          <a:extLst>
            <a:ext uri="{FF2B5EF4-FFF2-40B4-BE49-F238E27FC236}">
              <a16:creationId xmlns:a16="http://schemas.microsoft.com/office/drawing/2014/main" id="{00000000-0008-0000-0B00-0000081C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64480" y="1097280"/>
          <a:ext cx="1935480" cy="716280"/>
        </a:xfrm>
        <a:prstGeom prst="rect">
          <a:avLst/>
        </a:prstGeom>
        <a:noFill/>
        <a:ln w="9525">
          <a:noFill/>
          <a:prstDash val="solid"/>
          <a:miter lim="800000"/>
          <a:headEnd/>
          <a:tailEnd/>
        </a:ln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647700</xdr:colOff>
      <xdr:row>1</xdr:row>
      <xdr:rowOff>83820</xdr:rowOff>
    </xdr:from>
    <xdr:to>
      <xdr:col>20</xdr:col>
      <xdr:colOff>670560</xdr:colOff>
      <xdr:row>29</xdr:row>
      <xdr:rowOff>7620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472440</xdr:colOff>
      <xdr:row>6</xdr:row>
      <xdr:rowOff>167640</xdr:rowOff>
    </xdr:from>
    <xdr:to>
      <xdr:col>7</xdr:col>
      <xdr:colOff>589297</xdr:colOff>
      <xdr:row>10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3795181-2272-4A46-AF85-2AC425C919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54040" y="1158240"/>
          <a:ext cx="1785637" cy="67056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586740</xdr:colOff>
      <xdr:row>6</xdr:row>
      <xdr:rowOff>99060</xdr:rowOff>
    </xdr:from>
    <xdr:to>
      <xdr:col>7</xdr:col>
      <xdr:colOff>639234</xdr:colOff>
      <xdr:row>11</xdr:row>
      <xdr:rowOff>92107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3AE683-E850-48D2-A7F8-211CA7F726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34000" y="1089660"/>
          <a:ext cx="2125134" cy="884587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22860</xdr:colOff>
      <xdr:row>6</xdr:row>
      <xdr:rowOff>116205</xdr:rowOff>
    </xdr:from>
    <xdr:to>
      <xdr:col>8</xdr:col>
      <xdr:colOff>81069</xdr:colOff>
      <xdr:row>11</xdr:row>
      <xdr:rowOff>95917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B10D8C9-47E6-4995-A11A-690E547352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14060" y="1106805"/>
          <a:ext cx="2130849" cy="871252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15240</xdr:colOff>
      <xdr:row>6</xdr:row>
      <xdr:rowOff>91440</xdr:rowOff>
    </xdr:from>
    <xdr:to>
      <xdr:col>7</xdr:col>
      <xdr:colOff>667809</xdr:colOff>
      <xdr:row>11</xdr:row>
      <xdr:rowOff>71152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FD90859-F316-40C5-9418-2CCD3FEFE3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84520" y="1082040"/>
          <a:ext cx="2130849" cy="871252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548640</xdr:colOff>
      <xdr:row>6</xdr:row>
      <xdr:rowOff>167640</xdr:rowOff>
    </xdr:from>
    <xdr:to>
      <xdr:col>7</xdr:col>
      <xdr:colOff>526161</xdr:colOff>
      <xdr:row>10</xdr:row>
      <xdr:rowOff>116872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25E870A-5898-4517-899B-2C4A981D0F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57800" y="1158240"/>
          <a:ext cx="1646301" cy="673132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510540</xdr:colOff>
      <xdr:row>6</xdr:row>
      <xdr:rowOff>175260</xdr:rowOff>
    </xdr:from>
    <xdr:to>
      <xdr:col>8</xdr:col>
      <xdr:colOff>40135</xdr:colOff>
      <xdr:row>10</xdr:row>
      <xdr:rowOff>147352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DF3C0BC-68D2-4884-9B11-19BFA60125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463540" y="1165860"/>
          <a:ext cx="1571755" cy="6959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8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9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AC138"/>
  <sheetViews>
    <sheetView showGridLines="0" topLeftCell="A90" zoomScale="110" zoomScaleNormal="110" workbookViewId="0">
      <selection activeCell="F15" sqref="F15"/>
    </sheetView>
  </sheetViews>
  <sheetFormatPr baseColWidth="10" defaultColWidth="11.44140625" defaultRowHeight="13.2" outlineLevelCol="1" x14ac:dyDescent="0.25"/>
  <cols>
    <col min="1" max="1" width="3.88671875" style="1202" customWidth="1"/>
    <col min="2" max="2" width="7.5546875" style="1206" customWidth="1"/>
    <col min="3" max="3" width="74.5546875" style="1202" customWidth="1"/>
    <col min="4" max="4" width="12.88671875" style="1202" customWidth="1"/>
    <col min="5" max="5" width="12.88671875" style="1352" customWidth="1"/>
    <col min="6" max="6" width="13.5546875" style="1202" customWidth="1"/>
    <col min="7" max="7" width="11.44140625" style="1202" customWidth="1" outlineLevel="1"/>
    <col min="8" max="8" width="5" style="1202" customWidth="1" outlineLevel="1"/>
    <col min="9" max="9" width="16.6640625" style="1325" customWidth="1"/>
    <col min="10" max="10" width="11.44140625" style="1332" customWidth="1"/>
    <col min="11" max="11" width="10.33203125" style="1202" customWidth="1"/>
    <col min="12" max="12" width="7.6640625" style="1202" customWidth="1" outlineLevel="1"/>
    <col min="13" max="13" width="9.33203125" style="1202" customWidth="1" outlineLevel="1"/>
    <col min="14" max="14" width="11.44140625" style="1202" customWidth="1" outlineLevel="1"/>
    <col min="15" max="15" width="2.77734375" style="1202" customWidth="1" outlineLevel="1"/>
    <col min="16" max="16" width="11.44140625" style="1202" customWidth="1"/>
    <col min="17" max="28" width="11.44140625" style="1202" customWidth="1" outlineLevel="1"/>
    <col min="29" max="32" width="11.44140625" style="1202" customWidth="1"/>
    <col min="33" max="16384" width="11.44140625" style="1202"/>
  </cols>
  <sheetData>
    <row r="1" spans="1:28" ht="25.2" customHeight="1" x14ac:dyDescent="0.4">
      <c r="A1" s="1203" t="s">
        <v>0</v>
      </c>
      <c r="B1" s="1204"/>
      <c r="C1" s="1204"/>
      <c r="D1" s="1204"/>
      <c r="E1" s="1204"/>
      <c r="F1" s="1204"/>
      <c r="G1" s="1325"/>
    </row>
    <row r="2" spans="1:28" x14ac:dyDescent="0.25">
      <c r="C2" s="1207" t="s">
        <v>1</v>
      </c>
      <c r="D2" s="1319">
        <v>46091</v>
      </c>
      <c r="E2" s="1319"/>
      <c r="G2" s="1325"/>
    </row>
    <row r="3" spans="1:28" ht="13.95" customHeight="1" x14ac:dyDescent="0.25">
      <c r="E3" s="1674" t="s">
        <v>1182</v>
      </c>
      <c r="F3" s="1676" t="s">
        <v>1183</v>
      </c>
      <c r="G3" s="1678" t="s">
        <v>1184</v>
      </c>
      <c r="Z3" s="1209"/>
      <c r="AA3" s="1210"/>
      <c r="AB3" s="1210"/>
    </row>
    <row r="4" spans="1:28" ht="18" customHeight="1" thickBot="1" x14ac:dyDescent="0.3">
      <c r="B4" s="1211" t="s">
        <v>2</v>
      </c>
      <c r="C4" s="1212" t="s">
        <v>3</v>
      </c>
      <c r="D4" s="1213" t="s">
        <v>4</v>
      </c>
      <c r="E4" s="1675"/>
      <c r="F4" s="1677"/>
      <c r="G4" s="1678"/>
      <c r="M4" s="1214"/>
      <c r="N4" s="1214"/>
      <c r="O4" s="1214"/>
      <c r="P4" s="1214"/>
      <c r="Q4" s="1215"/>
      <c r="R4" s="1215"/>
      <c r="S4" s="1215"/>
      <c r="T4" s="1215"/>
      <c r="U4" s="1215"/>
      <c r="V4" s="1208"/>
      <c r="W4" s="1215"/>
      <c r="Z4" s="1209"/>
      <c r="AA4" s="1216"/>
      <c r="AB4" s="1216"/>
    </row>
    <row r="5" spans="1:28" x14ac:dyDescent="0.25">
      <c r="B5" s="1217"/>
      <c r="C5" s="1218"/>
      <c r="D5" s="1219"/>
      <c r="E5" s="1219"/>
      <c r="F5" s="1219"/>
      <c r="G5" s="1326"/>
      <c r="H5" s="1220"/>
      <c r="J5" s="1326"/>
      <c r="K5" s="1220"/>
      <c r="L5" s="1220"/>
      <c r="N5" s="1220"/>
      <c r="O5" s="1220"/>
      <c r="P5" s="1220"/>
      <c r="Q5" s="1221"/>
      <c r="R5" s="1220"/>
      <c r="S5" s="1222"/>
      <c r="T5" s="1220"/>
      <c r="U5" s="1220"/>
      <c r="V5" s="1223"/>
      <c r="W5" s="1221"/>
      <c r="X5" s="1220"/>
      <c r="AA5" s="1224"/>
      <c r="AB5" s="1224"/>
    </row>
    <row r="6" spans="1:28" x14ac:dyDescent="0.25">
      <c r="B6" s="1225"/>
      <c r="C6" s="1316" t="s">
        <v>1089</v>
      </c>
      <c r="D6" s="1317" t="s">
        <v>7</v>
      </c>
      <c r="E6" s="1370" t="s">
        <v>1187</v>
      </c>
      <c r="F6" s="1672">
        <v>430</v>
      </c>
      <c r="G6" s="1327" t="s">
        <v>99</v>
      </c>
      <c r="H6" s="1226"/>
      <c r="J6" s="1333"/>
      <c r="K6" s="1310"/>
      <c r="L6" s="1227"/>
      <c r="M6" s="1228"/>
      <c r="N6" s="1228"/>
      <c r="O6" s="1228"/>
      <c r="P6" s="1228"/>
      <c r="Q6" s="1205"/>
      <c r="R6" s="1205"/>
      <c r="S6" s="1205"/>
      <c r="T6" s="1205"/>
      <c r="U6" s="1205"/>
      <c r="V6" s="1229"/>
      <c r="W6" s="1205"/>
      <c r="X6" s="1220"/>
      <c r="AA6" s="1230"/>
      <c r="AB6" s="1230"/>
    </row>
    <row r="7" spans="1:28" s="1569" customFormat="1" x14ac:dyDescent="0.25">
      <c r="B7" s="1225"/>
      <c r="C7" s="1670" t="s">
        <v>1243</v>
      </c>
      <c r="D7" s="1428" t="s">
        <v>7</v>
      </c>
      <c r="E7" s="1429" t="s">
        <v>1187</v>
      </c>
      <c r="F7" s="1318">
        <v>885</v>
      </c>
      <c r="G7" s="1327" t="s">
        <v>99</v>
      </c>
      <c r="H7" s="1226"/>
      <c r="I7" s="1325"/>
      <c r="J7" s="1333"/>
      <c r="K7" s="1310"/>
      <c r="L7" s="1227"/>
      <c r="M7" s="1228"/>
      <c r="N7" s="1228"/>
      <c r="O7" s="1228"/>
      <c r="P7" s="1228"/>
      <c r="Q7" s="1205"/>
      <c r="R7" s="1205"/>
      <c r="S7" s="1205"/>
      <c r="T7" s="1205"/>
      <c r="U7" s="1205"/>
      <c r="V7" s="1229"/>
      <c r="W7" s="1205"/>
      <c r="X7" s="1220"/>
      <c r="AA7" s="1230"/>
      <c r="AB7" s="1230"/>
    </row>
    <row r="8" spans="1:28" x14ac:dyDescent="0.25">
      <c r="B8" s="1225"/>
      <c r="C8" s="688" t="s">
        <v>1090</v>
      </c>
      <c r="D8" s="1219" t="s">
        <v>7</v>
      </c>
      <c r="E8" s="1234" t="s">
        <v>1187</v>
      </c>
      <c r="F8" s="1672">
        <v>1100</v>
      </c>
      <c r="G8" s="1327" t="s">
        <v>99</v>
      </c>
      <c r="H8" s="1226"/>
      <c r="J8" s="1333"/>
      <c r="K8" s="1310"/>
      <c r="L8" s="1227"/>
      <c r="M8" s="1228"/>
      <c r="N8" s="1228"/>
      <c r="O8" s="1228"/>
      <c r="P8" s="1228"/>
      <c r="Q8" s="1205"/>
      <c r="R8" s="1205"/>
      <c r="S8" s="1205"/>
      <c r="T8" s="1205"/>
      <c r="U8" s="1205"/>
      <c r="V8" s="1229"/>
      <c r="W8" s="1205"/>
      <c r="X8" s="1220"/>
      <c r="AA8" s="1230"/>
      <c r="AB8" s="1230"/>
    </row>
    <row r="9" spans="1:28" x14ac:dyDescent="0.25">
      <c r="B9" s="1225"/>
      <c r="C9" s="688" t="s">
        <v>1091</v>
      </c>
      <c r="D9" s="1219" t="s">
        <v>7</v>
      </c>
      <c r="E9" s="1234" t="s">
        <v>1187</v>
      </c>
      <c r="F9" s="1672">
        <v>1080</v>
      </c>
      <c r="G9" s="1327" t="s">
        <v>99</v>
      </c>
      <c r="H9" s="1226"/>
      <c r="J9" s="1333"/>
      <c r="K9" s="1310"/>
      <c r="L9" s="1227"/>
      <c r="M9" s="1228"/>
      <c r="N9" s="1228"/>
      <c r="O9" s="1228"/>
      <c r="P9" s="1228"/>
      <c r="Q9" s="1205"/>
      <c r="R9" s="1205"/>
      <c r="S9" s="1205"/>
      <c r="T9" s="1205"/>
      <c r="U9" s="1205"/>
      <c r="V9" s="1229"/>
      <c r="W9" s="1205"/>
      <c r="X9" s="1220"/>
      <c r="AA9" s="1230"/>
      <c r="AB9" s="1230"/>
    </row>
    <row r="10" spans="1:28" x14ac:dyDescent="0.25">
      <c r="B10" s="1225"/>
      <c r="C10" s="688" t="s">
        <v>1092</v>
      </c>
      <c r="D10" s="1219" t="s">
        <v>7</v>
      </c>
      <c r="E10" s="1234" t="s">
        <v>1187</v>
      </c>
      <c r="F10" s="1318">
        <v>2600</v>
      </c>
      <c r="G10" s="1327" t="s">
        <v>99</v>
      </c>
      <c r="H10" s="1226"/>
      <c r="J10" s="1333"/>
      <c r="K10" s="1310"/>
      <c r="L10" s="1227"/>
      <c r="M10" s="1228"/>
      <c r="N10" s="1228"/>
      <c r="O10" s="1228"/>
      <c r="P10" s="1228"/>
      <c r="Q10" s="1205"/>
      <c r="R10" s="1205"/>
      <c r="S10" s="1205"/>
      <c r="T10" s="1205"/>
      <c r="U10" s="1205"/>
      <c r="V10" s="1229"/>
      <c r="W10" s="1205"/>
      <c r="X10" s="1220"/>
      <c r="AA10" s="1230"/>
      <c r="AB10" s="1230"/>
    </row>
    <row r="11" spans="1:28" s="1315" customFormat="1" x14ac:dyDescent="0.25">
      <c r="B11" s="1225"/>
      <c r="C11" s="1232" t="s">
        <v>1093</v>
      </c>
      <c r="D11" s="1219" t="s">
        <v>7</v>
      </c>
      <c r="E11" s="1234" t="s">
        <v>1187</v>
      </c>
      <c r="F11" s="1673">
        <v>970</v>
      </c>
      <c r="G11" s="1327" t="s">
        <v>99</v>
      </c>
      <c r="H11" s="1226"/>
      <c r="J11" s="1333"/>
      <c r="K11" s="1310"/>
      <c r="L11" s="1227"/>
      <c r="M11" s="1228"/>
      <c r="N11" s="1228"/>
      <c r="O11" s="1228"/>
      <c r="P11" s="1228"/>
      <c r="Q11" s="1205"/>
      <c r="R11" s="1205"/>
      <c r="S11" s="1205"/>
      <c r="T11" s="1205"/>
      <c r="U11" s="1205"/>
      <c r="V11" s="1229"/>
      <c r="W11" s="1205"/>
      <c r="X11" s="1220"/>
      <c r="AA11" s="1230"/>
      <c r="AB11" s="1230"/>
    </row>
    <row r="12" spans="1:28" s="1315" customFormat="1" x14ac:dyDescent="0.25">
      <c r="B12" s="1225"/>
      <c r="C12" s="1232" t="s">
        <v>1094</v>
      </c>
      <c r="D12" s="1219" t="s">
        <v>7</v>
      </c>
      <c r="E12" s="1234" t="s">
        <v>1187</v>
      </c>
      <c r="F12" s="1318">
        <v>1040</v>
      </c>
      <c r="G12" s="1327" t="s">
        <v>99</v>
      </c>
      <c r="H12" s="1226"/>
      <c r="J12" s="1333"/>
      <c r="K12" s="1310"/>
      <c r="L12" s="1227"/>
      <c r="M12" s="1228"/>
      <c r="N12" s="1228"/>
      <c r="O12" s="1228"/>
      <c r="P12" s="1228"/>
      <c r="Q12" s="1205"/>
      <c r="R12" s="1205"/>
      <c r="S12" s="1205"/>
      <c r="T12" s="1205"/>
      <c r="U12" s="1205"/>
      <c r="V12" s="1229"/>
      <c r="W12" s="1205"/>
      <c r="X12" s="1220"/>
      <c r="AA12" s="1230"/>
      <c r="AB12" s="1230"/>
    </row>
    <row r="13" spans="1:28" s="1315" customFormat="1" x14ac:dyDescent="0.25">
      <c r="B13" s="1225"/>
      <c r="C13" s="688" t="s">
        <v>1138</v>
      </c>
      <c r="D13" s="1234" t="s">
        <v>7</v>
      </c>
      <c r="E13" s="1234" t="s">
        <v>1188</v>
      </c>
      <c r="F13" s="1672">
        <v>560</v>
      </c>
      <c r="G13" s="1327" t="s">
        <v>99</v>
      </c>
      <c r="H13" s="1226"/>
      <c r="J13" s="1333"/>
      <c r="K13" s="1310"/>
      <c r="L13" s="1227"/>
      <c r="M13" s="1228"/>
      <c r="N13" s="1228"/>
      <c r="O13" s="1228"/>
      <c r="P13" s="1228"/>
      <c r="Q13" s="1205"/>
      <c r="R13" s="1205"/>
      <c r="S13" s="1205"/>
      <c r="T13" s="1205"/>
      <c r="U13" s="1205"/>
      <c r="V13" s="1229"/>
      <c r="W13" s="1205"/>
      <c r="X13" s="1220"/>
      <c r="AA13" s="1230"/>
      <c r="AB13" s="1230"/>
    </row>
    <row r="14" spans="1:28" s="1315" customFormat="1" x14ac:dyDescent="0.25">
      <c r="B14" s="1225"/>
      <c r="C14" s="1232" t="s">
        <v>1112</v>
      </c>
      <c r="D14" s="1219" t="s">
        <v>7</v>
      </c>
      <c r="E14" s="1234" t="s">
        <v>1188</v>
      </c>
      <c r="F14" s="1318">
        <v>9</v>
      </c>
      <c r="G14" s="1327" t="s">
        <v>1194</v>
      </c>
      <c r="H14" s="1226"/>
      <c r="J14" s="1333"/>
      <c r="K14" s="1310"/>
      <c r="L14" s="1227"/>
      <c r="M14" s="1228"/>
      <c r="N14" s="1228"/>
      <c r="O14" s="1228"/>
      <c r="P14" s="1228"/>
      <c r="Q14" s="1205"/>
      <c r="R14" s="1205"/>
      <c r="S14" s="1205"/>
      <c r="T14" s="1205"/>
      <c r="U14" s="1205"/>
      <c r="V14" s="1229"/>
      <c r="W14" s="1205"/>
      <c r="X14" s="1220"/>
      <c r="AA14" s="1230"/>
      <c r="AB14" s="1230"/>
    </row>
    <row r="15" spans="1:28" x14ac:dyDescent="0.25">
      <c r="B15" s="1225"/>
      <c r="C15" s="1316" t="s">
        <v>1095</v>
      </c>
      <c r="D15" s="1317" t="s">
        <v>7</v>
      </c>
      <c r="E15" s="1370" t="s">
        <v>1188</v>
      </c>
      <c r="F15" s="1318">
        <v>3.5</v>
      </c>
      <c r="G15" s="1327" t="s">
        <v>1194</v>
      </c>
      <c r="H15" s="1226"/>
      <c r="J15" s="1333"/>
      <c r="K15" s="1310"/>
      <c r="L15" s="1227"/>
      <c r="M15" s="1228"/>
      <c r="N15" s="1228"/>
      <c r="O15" s="1228"/>
      <c r="P15" s="1228"/>
      <c r="Q15" s="1205"/>
      <c r="R15" s="1205"/>
      <c r="S15" s="1205"/>
      <c r="T15" s="1205"/>
      <c r="U15" s="1205"/>
      <c r="V15" s="1229"/>
      <c r="W15" s="1205"/>
      <c r="X15" s="1220"/>
      <c r="AA15" s="1230"/>
      <c r="AB15" s="1230"/>
    </row>
    <row r="16" spans="1:28" x14ac:dyDescent="0.25">
      <c r="B16" s="1225"/>
      <c r="C16" s="1232" t="s">
        <v>1096</v>
      </c>
      <c r="D16" s="1219" t="s">
        <v>7</v>
      </c>
      <c r="E16" s="1234" t="s">
        <v>1188</v>
      </c>
      <c r="F16" s="1318">
        <v>4.5</v>
      </c>
      <c r="G16" s="1327" t="s">
        <v>1194</v>
      </c>
      <c r="H16" s="1226"/>
      <c r="J16" s="1333"/>
      <c r="K16" s="1310"/>
      <c r="L16" s="1227"/>
      <c r="M16" s="1228"/>
      <c r="N16" s="1228"/>
      <c r="O16" s="1228"/>
      <c r="P16" s="1228"/>
      <c r="Q16" s="1205"/>
      <c r="R16" s="1205"/>
      <c r="S16" s="1205"/>
      <c r="T16" s="1205"/>
      <c r="U16" s="1205"/>
      <c r="V16" s="1229"/>
      <c r="W16" s="1205"/>
      <c r="X16" s="1220"/>
      <c r="AA16" s="1230"/>
      <c r="AB16" s="1230"/>
    </row>
    <row r="17" spans="2:28" x14ac:dyDescent="0.25">
      <c r="B17" s="1225"/>
      <c r="C17" s="1232" t="s">
        <v>1097</v>
      </c>
      <c r="D17" s="1219" t="s">
        <v>7</v>
      </c>
      <c r="E17" s="1234" t="s">
        <v>1188</v>
      </c>
      <c r="F17" s="1318">
        <v>45</v>
      </c>
      <c r="G17" s="1327" t="s">
        <v>1194</v>
      </c>
      <c r="H17" s="1226"/>
      <c r="J17" s="1333"/>
      <c r="K17" s="1310"/>
      <c r="L17" s="1227"/>
      <c r="M17" s="1228"/>
      <c r="N17" s="1228"/>
      <c r="O17" s="1228"/>
      <c r="P17" s="1228"/>
      <c r="Q17" s="1205"/>
      <c r="R17" s="1205"/>
      <c r="S17" s="1205"/>
      <c r="T17" s="1205"/>
      <c r="U17" s="1205"/>
      <c r="V17" s="1229"/>
      <c r="W17" s="1205"/>
      <c r="X17" s="1220"/>
      <c r="AA17" s="1230"/>
      <c r="AB17" s="1230"/>
    </row>
    <row r="18" spans="2:28" x14ac:dyDescent="0.25">
      <c r="B18" s="1202"/>
      <c r="C18" s="1202" t="s">
        <v>1098</v>
      </c>
      <c r="D18" s="1219" t="s">
        <v>7</v>
      </c>
      <c r="E18" s="1234" t="s">
        <v>1188</v>
      </c>
      <c r="F18" s="1320">
        <v>18.5</v>
      </c>
      <c r="G18" s="1327" t="s">
        <v>1194</v>
      </c>
      <c r="H18" s="1226"/>
      <c r="J18" s="1333"/>
      <c r="K18" s="1310"/>
      <c r="L18" s="1227"/>
      <c r="M18" s="1228"/>
      <c r="N18" s="1228"/>
      <c r="O18" s="1228"/>
      <c r="P18" s="1228"/>
      <c r="Q18" s="1205"/>
      <c r="R18" s="1205"/>
      <c r="S18" s="1205"/>
      <c r="T18" s="1205"/>
      <c r="U18" s="1205"/>
      <c r="V18" s="1229"/>
      <c r="W18" s="1205"/>
      <c r="X18" s="1220"/>
      <c r="AA18" s="1230"/>
      <c r="AB18" s="1230"/>
    </row>
    <row r="19" spans="2:28" s="1315" customFormat="1" x14ac:dyDescent="0.25">
      <c r="C19" s="1232" t="s">
        <v>1110</v>
      </c>
      <c r="D19" s="1219" t="s">
        <v>7</v>
      </c>
      <c r="E19" s="1234" t="s">
        <v>1188</v>
      </c>
      <c r="F19" s="1318">
        <v>19.5</v>
      </c>
      <c r="G19" s="1327" t="s">
        <v>1194</v>
      </c>
      <c r="H19" s="1226"/>
      <c r="J19" s="1333"/>
      <c r="K19" s="1310"/>
      <c r="L19" s="1227"/>
      <c r="M19" s="1228"/>
      <c r="N19" s="1228"/>
      <c r="O19" s="1228"/>
      <c r="P19" s="1228"/>
      <c r="Q19" s="1205"/>
      <c r="R19" s="1205"/>
      <c r="S19" s="1205"/>
      <c r="T19" s="1205"/>
      <c r="U19" s="1205"/>
      <c r="V19" s="1229"/>
      <c r="W19" s="1205"/>
      <c r="X19" s="1220"/>
      <c r="AA19" s="1230"/>
      <c r="AB19" s="1230"/>
    </row>
    <row r="20" spans="2:28" s="1315" customFormat="1" x14ac:dyDescent="0.25">
      <c r="C20" s="1232" t="s">
        <v>1099</v>
      </c>
      <c r="D20" s="1219" t="s">
        <v>7</v>
      </c>
      <c r="E20" s="1234" t="s">
        <v>1188</v>
      </c>
      <c r="F20" s="1318">
        <v>32</v>
      </c>
      <c r="G20" s="1327" t="s">
        <v>1194</v>
      </c>
      <c r="H20" s="1226"/>
      <c r="J20" s="1333"/>
      <c r="K20" s="1310"/>
      <c r="L20" s="1227"/>
      <c r="M20" s="1228"/>
      <c r="N20" s="1228"/>
      <c r="O20" s="1228"/>
      <c r="P20" s="1228"/>
      <c r="Q20" s="1205"/>
      <c r="R20" s="1205"/>
      <c r="S20" s="1205"/>
      <c r="T20" s="1205"/>
      <c r="U20" s="1205"/>
      <c r="V20" s="1229"/>
      <c r="W20" s="1205"/>
      <c r="X20" s="1220"/>
      <c r="AA20" s="1230"/>
      <c r="AB20" s="1230"/>
    </row>
    <row r="21" spans="2:28" s="1315" customFormat="1" x14ac:dyDescent="0.25">
      <c r="C21" s="1232" t="s">
        <v>1111</v>
      </c>
      <c r="D21" s="1219" t="s">
        <v>7</v>
      </c>
      <c r="E21" s="1234" t="s">
        <v>1185</v>
      </c>
      <c r="F21" s="1318">
        <v>25</v>
      </c>
      <c r="G21" s="1327" t="s">
        <v>1194</v>
      </c>
      <c r="H21" s="1226"/>
      <c r="J21" s="1333"/>
      <c r="K21" s="1310"/>
      <c r="L21" s="1227"/>
      <c r="M21" s="1228"/>
      <c r="N21" s="1228"/>
      <c r="O21" s="1228"/>
      <c r="P21" s="1228"/>
      <c r="Q21" s="1205"/>
      <c r="R21" s="1205"/>
      <c r="S21" s="1205"/>
      <c r="T21" s="1205"/>
      <c r="U21" s="1205"/>
      <c r="V21" s="1229"/>
      <c r="W21" s="1205"/>
      <c r="X21" s="1220"/>
      <c r="AA21" s="1230"/>
      <c r="AB21" s="1230"/>
    </row>
    <row r="22" spans="2:28" x14ac:dyDescent="0.25">
      <c r="B22" s="1202"/>
      <c r="C22" s="1321" t="s">
        <v>1100</v>
      </c>
      <c r="D22" s="1317" t="s">
        <v>7</v>
      </c>
      <c r="E22" s="1370" t="s">
        <v>1188</v>
      </c>
      <c r="F22" s="1318">
        <v>42</v>
      </c>
      <c r="G22" s="1327" t="s">
        <v>1194</v>
      </c>
      <c r="H22" s="1226"/>
      <c r="J22" s="1333"/>
      <c r="K22" s="1310"/>
      <c r="L22" s="1227"/>
      <c r="M22" s="1228"/>
      <c r="N22" s="1228"/>
      <c r="O22" s="1228"/>
      <c r="P22" s="1228"/>
      <c r="Q22" s="1205"/>
      <c r="R22" s="1205"/>
      <c r="S22" s="1205"/>
      <c r="T22" s="1205"/>
      <c r="U22" s="1205"/>
      <c r="V22" s="1229"/>
      <c r="W22" s="1205"/>
      <c r="X22" s="1220"/>
      <c r="AA22" s="1230"/>
      <c r="AB22" s="1230"/>
    </row>
    <row r="23" spans="2:28" s="1315" customFormat="1" x14ac:dyDescent="0.25">
      <c r="C23" s="1232" t="s">
        <v>1108</v>
      </c>
      <c r="D23" s="1219" t="s">
        <v>7</v>
      </c>
      <c r="E23" s="1234" t="s">
        <v>1188</v>
      </c>
      <c r="F23" s="1322">
        <v>43</v>
      </c>
      <c r="G23" s="1327" t="s">
        <v>1194</v>
      </c>
      <c r="H23" s="1226"/>
      <c r="J23" s="1333"/>
      <c r="K23" s="1310"/>
      <c r="L23" s="1227"/>
      <c r="M23" s="1228"/>
      <c r="N23" s="1228"/>
      <c r="O23" s="1228"/>
      <c r="P23" s="1228"/>
      <c r="Q23" s="1205"/>
      <c r="R23" s="1205"/>
      <c r="S23" s="1205"/>
      <c r="T23" s="1205"/>
      <c r="U23" s="1205"/>
      <c r="V23" s="1229"/>
      <c r="W23" s="1205"/>
      <c r="X23" s="1220"/>
      <c r="AA23" s="1230"/>
      <c r="AB23" s="1230"/>
    </row>
    <row r="24" spans="2:28" s="1315" customFormat="1" x14ac:dyDescent="0.25">
      <c r="C24" s="1232" t="s">
        <v>1109</v>
      </c>
      <c r="D24" s="1219" t="s">
        <v>7</v>
      </c>
      <c r="E24" s="1234" t="s">
        <v>1189</v>
      </c>
      <c r="F24" s="1322">
        <v>60.5</v>
      </c>
      <c r="G24" s="1327" t="s">
        <v>1195</v>
      </c>
      <c r="H24" s="1226"/>
      <c r="J24" s="1333"/>
      <c r="K24" s="1310"/>
      <c r="L24" s="1227"/>
      <c r="M24" s="1228"/>
      <c r="N24" s="1228"/>
      <c r="O24" s="1228"/>
      <c r="P24" s="1228"/>
      <c r="Q24" s="1205"/>
      <c r="R24" s="1205"/>
      <c r="S24" s="1205"/>
      <c r="T24" s="1205"/>
      <c r="U24" s="1205"/>
      <c r="V24" s="1229"/>
      <c r="W24" s="1205"/>
      <c r="X24" s="1220"/>
      <c r="AA24" s="1230"/>
      <c r="AB24" s="1230"/>
    </row>
    <row r="25" spans="2:28" x14ac:dyDescent="0.25">
      <c r="B25" s="1225"/>
      <c r="C25" s="1321" t="s">
        <v>1180</v>
      </c>
      <c r="D25" s="1317" t="s">
        <v>7</v>
      </c>
      <c r="E25" s="1370" t="s">
        <v>1190</v>
      </c>
      <c r="F25" s="1322">
        <f>68*0.08</f>
        <v>5.44</v>
      </c>
      <c r="G25" s="1327" t="s">
        <v>1193</v>
      </c>
      <c r="H25" s="1328" t="s">
        <v>1083</v>
      </c>
      <c r="J25" s="1333"/>
      <c r="K25" s="1310"/>
      <c r="L25" s="1227"/>
      <c r="M25" s="1228"/>
      <c r="N25" s="1228"/>
      <c r="O25" s="1228"/>
      <c r="P25" s="1228"/>
      <c r="Q25" s="1205"/>
      <c r="R25" s="1205"/>
      <c r="S25" s="1205"/>
      <c r="T25" s="1205"/>
      <c r="U25" s="1205"/>
      <c r="V25" s="1229"/>
      <c r="W25" s="1205"/>
      <c r="X25" s="1220"/>
      <c r="AA25" s="1230"/>
      <c r="AB25" s="1230"/>
    </row>
    <row r="26" spans="2:28" x14ac:dyDescent="0.25">
      <c r="B26" s="1225"/>
      <c r="C26" s="1232" t="s">
        <v>19</v>
      </c>
      <c r="D26" s="1219" t="s">
        <v>7</v>
      </c>
      <c r="E26" s="1234" t="s">
        <v>1190</v>
      </c>
      <c r="F26" s="1322">
        <f>32*0.4</f>
        <v>12.8</v>
      </c>
      <c r="G26" s="1327" t="s">
        <v>1193</v>
      </c>
      <c r="H26" s="1328" t="s">
        <v>1083</v>
      </c>
      <c r="J26" s="1333"/>
      <c r="K26" s="1310"/>
      <c r="L26" s="1227"/>
      <c r="M26" s="1228"/>
      <c r="N26" s="1228"/>
      <c r="O26" s="1228"/>
      <c r="P26" s="1228"/>
      <c r="Q26" s="1205"/>
      <c r="R26" s="1205"/>
      <c r="S26" s="1205"/>
      <c r="T26" s="1205"/>
      <c r="U26" s="1205"/>
      <c r="V26" s="1229"/>
      <c r="W26" s="1205"/>
      <c r="X26" s="1220"/>
      <c r="AA26" s="1230"/>
      <c r="AB26" s="1230"/>
    </row>
    <row r="27" spans="2:28" x14ac:dyDescent="0.25">
      <c r="B27" s="1225"/>
      <c r="C27" s="1232" t="s">
        <v>1106</v>
      </c>
      <c r="D27" s="1219" t="s">
        <v>7</v>
      </c>
      <c r="E27" s="1234" t="s">
        <v>1190</v>
      </c>
      <c r="F27" s="1322">
        <f>36.1*0.16</f>
        <v>5.7760000000000007</v>
      </c>
      <c r="G27" s="1327" t="s">
        <v>1193</v>
      </c>
      <c r="H27" s="1328" t="s">
        <v>1083</v>
      </c>
      <c r="J27" s="1333"/>
      <c r="K27" s="1310"/>
      <c r="L27" s="1227"/>
      <c r="M27" s="1228"/>
      <c r="N27" s="1228"/>
      <c r="O27" s="1228"/>
      <c r="P27" s="1228"/>
      <c r="Q27" s="1205"/>
      <c r="R27" s="1205"/>
      <c r="S27" s="1205"/>
      <c r="T27" s="1205"/>
      <c r="U27" s="1205"/>
      <c r="V27" s="1229"/>
      <c r="W27" s="1205"/>
      <c r="X27" s="1220"/>
      <c r="AA27" s="1230"/>
      <c r="AB27" s="1230"/>
    </row>
    <row r="28" spans="2:28" x14ac:dyDescent="0.25">
      <c r="B28" s="1225"/>
      <c r="C28" s="1232" t="s">
        <v>1107</v>
      </c>
      <c r="D28" s="1219" t="s">
        <v>7</v>
      </c>
      <c r="E28" s="1234" t="s">
        <v>1190</v>
      </c>
      <c r="F28" s="1322">
        <v>4.5</v>
      </c>
      <c r="G28" s="1327" t="s">
        <v>1193</v>
      </c>
      <c r="H28" s="1328" t="s">
        <v>1083</v>
      </c>
      <c r="J28" s="1333"/>
      <c r="K28" s="1310"/>
      <c r="L28" s="1227"/>
      <c r="M28" s="1228"/>
      <c r="N28" s="1228"/>
      <c r="O28" s="1228"/>
      <c r="P28" s="1228"/>
      <c r="Q28" s="1205"/>
      <c r="R28" s="1205"/>
      <c r="S28" s="1205"/>
      <c r="T28" s="1205"/>
      <c r="U28" s="1205"/>
      <c r="V28" s="1229"/>
      <c r="W28" s="1205"/>
      <c r="X28" s="1220"/>
      <c r="AA28" s="1230"/>
      <c r="AB28" s="1230"/>
    </row>
    <row r="29" spans="2:28" x14ac:dyDescent="0.25">
      <c r="B29" s="1225"/>
      <c r="C29" s="1321" t="s">
        <v>1085</v>
      </c>
      <c r="D29" s="1317" t="s">
        <v>7</v>
      </c>
      <c r="E29" s="1370" t="s">
        <v>1188</v>
      </c>
      <c r="F29" s="1322">
        <v>30.5</v>
      </c>
      <c r="G29" s="1327" t="s">
        <v>1194</v>
      </c>
      <c r="H29" s="1226"/>
      <c r="J29" s="1333"/>
      <c r="K29" s="1310"/>
      <c r="L29" s="1227"/>
      <c r="M29" s="1228"/>
      <c r="N29" s="1228"/>
      <c r="O29" s="1228"/>
      <c r="P29" s="1228"/>
      <c r="Q29" s="1205"/>
      <c r="R29" s="1205"/>
      <c r="S29" s="1205"/>
      <c r="T29" s="1205"/>
      <c r="U29" s="1205"/>
      <c r="V29" s="1229"/>
      <c r="W29" s="1205"/>
      <c r="X29" s="1220"/>
      <c r="AA29" s="1230"/>
      <c r="AB29" s="1230"/>
    </row>
    <row r="30" spans="2:28" x14ac:dyDescent="0.25">
      <c r="B30" s="1225"/>
      <c r="C30" s="1232" t="s">
        <v>1086</v>
      </c>
      <c r="D30" s="1219" t="s">
        <v>7</v>
      </c>
      <c r="E30" s="1234" t="s">
        <v>1188</v>
      </c>
      <c r="F30" s="1318">
        <v>21</v>
      </c>
      <c r="G30" s="1327" t="s">
        <v>1194</v>
      </c>
      <c r="H30" s="1226"/>
      <c r="J30" s="1333"/>
      <c r="K30" s="1310"/>
      <c r="L30" s="1227"/>
      <c r="M30" s="1228"/>
      <c r="N30" s="1228"/>
      <c r="O30" s="1228"/>
      <c r="P30" s="1228"/>
      <c r="Q30" s="1205"/>
      <c r="R30" s="1205"/>
      <c r="S30" s="1205"/>
      <c r="T30" s="1205"/>
      <c r="U30" s="1205"/>
      <c r="V30" s="1229"/>
      <c r="W30" s="1205"/>
      <c r="X30" s="1220"/>
      <c r="AA30" s="1230"/>
      <c r="AB30" s="1230"/>
    </row>
    <row r="31" spans="2:28" x14ac:dyDescent="0.25">
      <c r="B31" s="1225"/>
      <c r="C31" s="1233" t="s">
        <v>1087</v>
      </c>
      <c r="D31" s="1219" t="s">
        <v>7</v>
      </c>
      <c r="E31" s="1234" t="s">
        <v>1188</v>
      </c>
      <c r="F31" s="1318">
        <v>19.5</v>
      </c>
      <c r="G31" s="1327" t="s">
        <v>1194</v>
      </c>
      <c r="H31" s="1226"/>
      <c r="J31" s="1333"/>
      <c r="K31" s="1310"/>
      <c r="L31" s="1227"/>
      <c r="M31" s="1228"/>
      <c r="N31" s="1228"/>
      <c r="O31" s="1228"/>
      <c r="P31" s="1228"/>
      <c r="Q31" s="1205"/>
      <c r="R31" s="1205"/>
      <c r="S31" s="1205"/>
      <c r="T31" s="1205"/>
      <c r="U31" s="1205"/>
      <c r="V31" s="1229"/>
      <c r="W31" s="1205"/>
      <c r="X31" s="1220"/>
      <c r="AA31" s="1230"/>
      <c r="AB31" s="1230"/>
    </row>
    <row r="32" spans="2:28" x14ac:dyDescent="0.25">
      <c r="B32" s="1225"/>
      <c r="C32" s="1233" t="s">
        <v>1084</v>
      </c>
      <c r="D32" s="1219" t="s">
        <v>7</v>
      </c>
      <c r="E32" s="1234" t="s">
        <v>1188</v>
      </c>
      <c r="F32" s="1318">
        <v>11.5</v>
      </c>
      <c r="G32" s="1327" t="s">
        <v>1194</v>
      </c>
      <c r="H32" s="1226"/>
      <c r="J32" s="1333"/>
      <c r="K32" s="1310"/>
      <c r="L32" s="1227"/>
      <c r="M32" s="1228"/>
      <c r="N32" s="1228"/>
      <c r="O32" s="1228"/>
      <c r="P32" s="1228"/>
      <c r="Q32" s="1205"/>
      <c r="R32" s="1205"/>
      <c r="S32" s="1205"/>
      <c r="T32" s="1205"/>
      <c r="U32" s="1205"/>
      <c r="V32" s="1229"/>
      <c r="W32" s="1205"/>
      <c r="X32" s="1220"/>
      <c r="AA32" s="1230"/>
      <c r="AB32" s="1230"/>
    </row>
    <row r="33" spans="2:28" x14ac:dyDescent="0.25">
      <c r="B33" s="1225"/>
      <c r="C33" s="1232" t="s">
        <v>1104</v>
      </c>
      <c r="D33" s="1219" t="s">
        <v>7</v>
      </c>
      <c r="E33" s="1234" t="s">
        <v>1188</v>
      </c>
      <c r="F33" s="1318">
        <v>42</v>
      </c>
      <c r="G33" s="1327" t="s">
        <v>1194</v>
      </c>
      <c r="H33" s="1226"/>
      <c r="J33" s="1333"/>
      <c r="K33" s="1310"/>
      <c r="L33" s="1227"/>
      <c r="M33" s="1228"/>
      <c r="N33" s="1228"/>
      <c r="O33" s="1228"/>
      <c r="P33" s="1228"/>
      <c r="Q33" s="1205"/>
      <c r="R33" s="1205"/>
      <c r="S33" s="1205"/>
      <c r="T33" s="1205"/>
      <c r="U33" s="1205"/>
      <c r="V33" s="1229"/>
      <c r="W33" s="1205"/>
      <c r="X33" s="1220"/>
      <c r="AA33" s="1230"/>
      <c r="AB33" s="1230"/>
    </row>
    <row r="34" spans="2:28" x14ac:dyDescent="0.25">
      <c r="B34" s="1225"/>
      <c r="C34" s="1232" t="s">
        <v>1088</v>
      </c>
      <c r="D34" s="1219" t="s">
        <v>7</v>
      </c>
      <c r="E34" s="1234" t="s">
        <v>1188</v>
      </c>
      <c r="F34" s="1318">
        <v>60</v>
      </c>
      <c r="G34" s="1327" t="s">
        <v>1194</v>
      </c>
      <c r="H34" s="1226"/>
      <c r="J34" s="1333"/>
      <c r="K34" s="1310"/>
      <c r="L34" s="1227"/>
      <c r="M34" s="1228"/>
      <c r="N34" s="1228"/>
      <c r="O34" s="1228"/>
      <c r="P34" s="1228"/>
      <c r="Q34" s="1205"/>
      <c r="R34" s="1205"/>
      <c r="S34" s="1205"/>
      <c r="T34" s="1205"/>
      <c r="U34" s="1205"/>
      <c r="V34" s="1229"/>
      <c r="W34" s="1205"/>
      <c r="X34" s="1220"/>
      <c r="AA34" s="1230"/>
      <c r="AB34" s="1230"/>
    </row>
    <row r="35" spans="2:28" x14ac:dyDescent="0.25">
      <c r="B35" s="1225"/>
      <c r="C35" s="1202" t="s">
        <v>1103</v>
      </c>
      <c r="D35" s="1219" t="s">
        <v>7</v>
      </c>
      <c r="E35" s="1234" t="s">
        <v>1188</v>
      </c>
      <c r="F35" s="1320">
        <v>11.5</v>
      </c>
      <c r="G35" s="1327" t="s">
        <v>1194</v>
      </c>
      <c r="H35" s="1226"/>
      <c r="J35" s="1333"/>
      <c r="K35" s="1310"/>
      <c r="L35" s="1227"/>
      <c r="M35" s="1228"/>
      <c r="N35" s="1228"/>
      <c r="O35" s="1228"/>
      <c r="P35" s="1228"/>
      <c r="Q35" s="1205"/>
      <c r="R35" s="1205"/>
      <c r="S35" s="1205"/>
      <c r="T35" s="1205"/>
      <c r="U35" s="1205"/>
      <c r="V35" s="1229"/>
      <c r="W35" s="1205"/>
      <c r="X35" s="1220"/>
      <c r="AA35" s="1230"/>
      <c r="AB35" s="1230"/>
    </row>
    <row r="36" spans="2:28" x14ac:dyDescent="0.25">
      <c r="B36" s="1225"/>
      <c r="C36" s="1202" t="s">
        <v>1105</v>
      </c>
      <c r="D36" s="1219" t="s">
        <v>7</v>
      </c>
      <c r="E36" s="1234" t="s">
        <v>1188</v>
      </c>
      <c r="F36" s="1320">
        <v>22</v>
      </c>
      <c r="G36" s="1327" t="s">
        <v>1194</v>
      </c>
      <c r="H36" s="1226"/>
      <c r="J36" s="1333"/>
      <c r="K36" s="1310"/>
      <c r="L36" s="1227"/>
      <c r="M36" s="1228"/>
      <c r="N36" s="1228"/>
      <c r="O36" s="1228"/>
      <c r="P36" s="1228"/>
      <c r="Q36" s="1205"/>
      <c r="R36" s="1205"/>
      <c r="S36" s="1205"/>
      <c r="T36" s="1205"/>
      <c r="U36" s="1205"/>
      <c r="V36" s="1229"/>
      <c r="W36" s="1205"/>
      <c r="X36" s="1220"/>
      <c r="AA36" s="1230"/>
      <c r="AB36" s="1230"/>
    </row>
    <row r="37" spans="2:28" s="1315" customFormat="1" x14ac:dyDescent="0.25">
      <c r="B37" s="1225"/>
      <c r="C37" s="1232" t="s">
        <v>1102</v>
      </c>
      <c r="D37" s="1219" t="s">
        <v>7</v>
      </c>
      <c r="E37" s="1234" t="s">
        <v>1187</v>
      </c>
      <c r="F37" s="1318">
        <v>10.3</v>
      </c>
      <c r="G37" s="1327" t="s">
        <v>1195</v>
      </c>
      <c r="H37" s="1226"/>
      <c r="J37" s="1333"/>
      <c r="K37" s="1310"/>
      <c r="L37" s="1227"/>
      <c r="M37" s="1228"/>
      <c r="N37" s="1228"/>
      <c r="O37" s="1228"/>
      <c r="P37" s="1228"/>
      <c r="Q37" s="1205"/>
      <c r="R37" s="1205"/>
      <c r="S37" s="1205"/>
      <c r="T37" s="1205"/>
      <c r="U37" s="1205"/>
      <c r="V37" s="1229"/>
      <c r="W37" s="1205"/>
      <c r="X37" s="1220"/>
      <c r="AA37" s="1230"/>
      <c r="AB37" s="1230"/>
    </row>
    <row r="38" spans="2:28" s="1315" customFormat="1" x14ac:dyDescent="0.25">
      <c r="B38" s="1225"/>
      <c r="C38" s="1232" t="s">
        <v>1101</v>
      </c>
      <c r="D38" s="1219" t="s">
        <v>7</v>
      </c>
      <c r="E38" s="1234" t="s">
        <v>1187</v>
      </c>
      <c r="F38" s="1318">
        <v>8.3000000000000007</v>
      </c>
      <c r="G38" s="1327" t="s">
        <v>1195</v>
      </c>
      <c r="H38" s="1226"/>
      <c r="J38" s="1333"/>
      <c r="K38" s="1310"/>
      <c r="L38" s="1227"/>
      <c r="M38" s="1228"/>
      <c r="N38" s="1228"/>
      <c r="O38" s="1228"/>
      <c r="P38" s="1228"/>
      <c r="Q38" s="1205"/>
      <c r="R38" s="1205"/>
      <c r="S38" s="1205"/>
      <c r="T38" s="1205"/>
      <c r="U38" s="1205"/>
      <c r="V38" s="1229"/>
      <c r="W38" s="1205"/>
      <c r="X38" s="1220"/>
      <c r="AA38" s="1230"/>
      <c r="AB38" s="1230"/>
    </row>
    <row r="39" spans="2:28" s="1315" customFormat="1" x14ac:dyDescent="0.25">
      <c r="B39" s="1225"/>
      <c r="C39" s="1321" t="s">
        <v>1113</v>
      </c>
      <c r="D39" s="1317" t="s">
        <v>7</v>
      </c>
      <c r="E39" s="1370" t="s">
        <v>1188</v>
      </c>
      <c r="F39" s="1318">
        <v>23</v>
      </c>
      <c r="G39" s="1327" t="s">
        <v>1194</v>
      </c>
      <c r="H39" s="1328">
        <v>0.4</v>
      </c>
      <c r="J39" s="1333"/>
      <c r="K39" s="1310"/>
      <c r="L39" s="1227"/>
      <c r="M39" s="1228"/>
      <c r="N39" s="1228"/>
      <c r="O39" s="1228"/>
      <c r="P39" s="1228"/>
      <c r="Q39" s="1205"/>
      <c r="R39" s="1205"/>
      <c r="S39" s="1205"/>
      <c r="T39" s="1205"/>
      <c r="U39" s="1205"/>
      <c r="V39" s="1229"/>
      <c r="W39" s="1205"/>
      <c r="X39" s="1220"/>
      <c r="AA39" s="1230"/>
      <c r="AB39" s="1230"/>
    </row>
    <row r="40" spans="2:28" x14ac:dyDescent="0.25">
      <c r="B40" s="1225"/>
      <c r="C40" s="1232" t="s">
        <v>1114</v>
      </c>
      <c r="D40" s="1219" t="s">
        <v>7</v>
      </c>
      <c r="E40" s="1234" t="s">
        <v>1188</v>
      </c>
      <c r="F40" s="1318">
        <v>15.5</v>
      </c>
      <c r="G40" s="1327" t="s">
        <v>1194</v>
      </c>
      <c r="H40" s="1328">
        <v>0.35</v>
      </c>
      <c r="J40" s="1333"/>
      <c r="K40" s="1310"/>
      <c r="L40" s="1227"/>
      <c r="M40" s="1228"/>
      <c r="N40" s="1228"/>
      <c r="O40" s="1228"/>
      <c r="P40" s="1228"/>
      <c r="Q40" s="1205"/>
      <c r="R40" s="1205"/>
      <c r="S40" s="1205"/>
      <c r="T40" s="1205"/>
      <c r="U40" s="1205"/>
      <c r="V40" s="1229"/>
      <c r="W40" s="1205"/>
      <c r="X40" s="1220"/>
      <c r="AA40" s="1230"/>
      <c r="AB40" s="1230"/>
    </row>
    <row r="41" spans="2:28" x14ac:dyDescent="0.25">
      <c r="B41" s="1225"/>
      <c r="C41" s="1232" t="s">
        <v>1117</v>
      </c>
      <c r="D41" s="1219" t="s">
        <v>7</v>
      </c>
      <c r="E41" s="1234" t="s">
        <v>1188</v>
      </c>
      <c r="F41" s="1318">
        <v>43.2</v>
      </c>
      <c r="G41" s="1327" t="s">
        <v>1194</v>
      </c>
      <c r="H41" s="1328">
        <v>0.6</v>
      </c>
      <c r="J41" s="1333"/>
      <c r="K41" s="1310"/>
      <c r="L41" s="1227"/>
      <c r="M41" s="1228"/>
      <c r="N41" s="1228"/>
      <c r="O41" s="1228"/>
      <c r="P41" s="1228"/>
      <c r="Q41" s="1205"/>
      <c r="R41" s="1205"/>
      <c r="S41" s="1205"/>
      <c r="T41" s="1205"/>
      <c r="U41" s="1205"/>
      <c r="V41" s="1229"/>
      <c r="W41" s="1205"/>
      <c r="X41" s="1220"/>
      <c r="AA41" s="1230"/>
      <c r="AB41" s="1230"/>
    </row>
    <row r="42" spans="2:28" x14ac:dyDescent="0.25">
      <c r="B42" s="1225"/>
      <c r="C42" s="1232" t="s">
        <v>1115</v>
      </c>
      <c r="D42" s="1219" t="s">
        <v>7</v>
      </c>
      <c r="E42" s="1234" t="s">
        <v>1188</v>
      </c>
      <c r="F42" s="1318">
        <v>29.5</v>
      </c>
      <c r="G42" s="1327" t="s">
        <v>1194</v>
      </c>
      <c r="H42" s="1328">
        <v>0.4</v>
      </c>
      <c r="J42" s="1333"/>
      <c r="K42" s="1310"/>
      <c r="L42" s="1227"/>
      <c r="M42" s="1228"/>
      <c r="N42" s="1228"/>
      <c r="O42" s="1228"/>
      <c r="P42" s="1228"/>
      <c r="Q42" s="1205"/>
      <c r="R42" s="1205"/>
      <c r="S42" s="1205"/>
      <c r="T42" s="1205"/>
      <c r="U42" s="1205"/>
      <c r="V42" s="1229"/>
      <c r="W42" s="1205"/>
      <c r="X42" s="1220"/>
      <c r="AA42" s="1230"/>
      <c r="AB42" s="1230"/>
    </row>
    <row r="43" spans="2:28" s="1315" customFormat="1" x14ac:dyDescent="0.25">
      <c r="B43" s="1225"/>
      <c r="C43" s="1232" t="s">
        <v>1116</v>
      </c>
      <c r="D43" s="1219" t="s">
        <v>7</v>
      </c>
      <c r="E43" s="1234" t="s">
        <v>1188</v>
      </c>
      <c r="F43" s="1318">
        <v>49.4</v>
      </c>
      <c r="G43" s="1327" t="s">
        <v>1194</v>
      </c>
      <c r="H43" s="1328">
        <v>0.5</v>
      </c>
      <c r="J43" s="1333"/>
      <c r="K43" s="1310"/>
      <c r="L43" s="1227"/>
      <c r="M43" s="1228"/>
      <c r="N43" s="1228"/>
      <c r="O43" s="1228"/>
      <c r="P43" s="1228"/>
      <c r="Q43" s="1205"/>
      <c r="R43" s="1205"/>
      <c r="S43" s="1205"/>
      <c r="T43" s="1205"/>
      <c r="U43" s="1205"/>
      <c r="V43" s="1229"/>
      <c r="W43" s="1205"/>
      <c r="X43" s="1220"/>
      <c r="AA43" s="1230"/>
      <c r="AB43" s="1230"/>
    </row>
    <row r="44" spans="2:28" s="1315" customFormat="1" x14ac:dyDescent="0.25">
      <c r="B44" s="1225"/>
      <c r="C44" s="1321" t="s">
        <v>1128</v>
      </c>
      <c r="D44" s="1317" t="s">
        <v>7</v>
      </c>
      <c r="E44" s="1370" t="s">
        <v>1187</v>
      </c>
      <c r="F44" s="1318">
        <v>6.95</v>
      </c>
      <c r="G44" s="1327" t="s">
        <v>1195</v>
      </c>
      <c r="I44" s="1328" t="s">
        <v>1159</v>
      </c>
      <c r="K44" s="1310"/>
      <c r="L44" s="1227"/>
      <c r="M44" s="1228"/>
      <c r="N44" s="1228"/>
      <c r="O44" s="1228"/>
      <c r="P44" s="1228"/>
      <c r="Q44" s="1205"/>
      <c r="R44" s="1205"/>
      <c r="S44" s="1205"/>
      <c r="T44" s="1205"/>
      <c r="U44" s="1205"/>
      <c r="V44" s="1229"/>
      <c r="W44" s="1205"/>
      <c r="X44" s="1220"/>
      <c r="AA44" s="1230"/>
      <c r="AB44" s="1230"/>
    </row>
    <row r="45" spans="2:28" s="1315" customFormat="1" x14ac:dyDescent="0.25">
      <c r="B45" s="1225"/>
      <c r="C45" s="1235" t="s">
        <v>1126</v>
      </c>
      <c r="D45" s="1234" t="s">
        <v>7</v>
      </c>
      <c r="E45" s="1234" t="s">
        <v>1188</v>
      </c>
      <c r="F45" s="1318">
        <v>7.5</v>
      </c>
      <c r="G45" s="1327" t="s">
        <v>1194</v>
      </c>
      <c r="I45" s="1332"/>
      <c r="K45" s="1310"/>
      <c r="L45" s="1227"/>
      <c r="M45" s="1228"/>
      <c r="N45" s="1228"/>
      <c r="O45" s="1228"/>
      <c r="P45" s="1228"/>
      <c r="Q45" s="1205"/>
      <c r="R45" s="1205"/>
      <c r="S45" s="1205"/>
      <c r="T45" s="1205"/>
      <c r="U45" s="1205"/>
      <c r="V45" s="1229"/>
      <c r="W45" s="1205"/>
      <c r="X45" s="1220"/>
      <c r="AA45" s="1230"/>
      <c r="AB45" s="1230"/>
    </row>
    <row r="46" spans="2:28" s="1315" customFormat="1" x14ac:dyDescent="0.25">
      <c r="B46" s="1225"/>
      <c r="C46" s="1232" t="s">
        <v>1120</v>
      </c>
      <c r="D46" s="1219" t="s">
        <v>7</v>
      </c>
      <c r="E46" s="1234" t="s">
        <v>1188</v>
      </c>
      <c r="F46" s="1318">
        <v>38</v>
      </c>
      <c r="G46" s="1327" t="s">
        <v>1194</v>
      </c>
      <c r="H46" s="1337"/>
      <c r="I46" s="1338" t="s">
        <v>1160</v>
      </c>
      <c r="J46" s="623" t="s">
        <v>1166</v>
      </c>
      <c r="K46" s="1310"/>
      <c r="L46" s="1227"/>
      <c r="M46" s="1228"/>
      <c r="N46" s="1228"/>
      <c r="O46" s="1228"/>
      <c r="P46" s="1228"/>
      <c r="Q46" s="1205"/>
      <c r="R46" s="1205"/>
      <c r="S46" s="1205"/>
      <c r="T46" s="1205"/>
      <c r="U46" s="1205"/>
      <c r="V46" s="1229"/>
      <c r="W46" s="1205"/>
      <c r="X46" s="1220"/>
      <c r="AA46" s="1230"/>
      <c r="AB46" s="1230"/>
    </row>
    <row r="47" spans="2:28" s="1315" customFormat="1" x14ac:dyDescent="0.25">
      <c r="B47" s="1225"/>
      <c r="C47" s="1232" t="s">
        <v>1121</v>
      </c>
      <c r="D47" s="1219" t="s">
        <v>7</v>
      </c>
      <c r="E47" s="1234" t="s">
        <v>1188</v>
      </c>
      <c r="F47" s="1318">
        <v>27</v>
      </c>
      <c r="G47" s="1327" t="s">
        <v>1194</v>
      </c>
      <c r="H47" s="1339"/>
      <c r="I47" s="1340" t="s">
        <v>1161</v>
      </c>
      <c r="J47" s="623" t="s">
        <v>1167</v>
      </c>
      <c r="K47" s="1310"/>
      <c r="L47" s="1227"/>
      <c r="M47" s="1228"/>
      <c r="N47" s="1228"/>
      <c r="O47" s="1228"/>
      <c r="P47" s="1228"/>
      <c r="Q47" s="1205"/>
      <c r="R47" s="1205"/>
      <c r="S47" s="1205"/>
      <c r="T47" s="1205"/>
      <c r="U47" s="1205"/>
      <c r="V47" s="1229"/>
      <c r="W47" s="1205"/>
      <c r="X47" s="1220"/>
      <c r="AA47" s="1230"/>
      <c r="AB47" s="1230"/>
    </row>
    <row r="48" spans="2:28" s="1315" customFormat="1" x14ac:dyDescent="0.25">
      <c r="B48" s="1225"/>
      <c r="C48" s="1232" t="s">
        <v>1118</v>
      </c>
      <c r="D48" s="1219" t="s">
        <v>7</v>
      </c>
      <c r="E48" s="1234" t="s">
        <v>1188</v>
      </c>
      <c r="F48" s="1318">
        <v>6.4</v>
      </c>
      <c r="G48" s="1327" t="s">
        <v>1194</v>
      </c>
      <c r="H48" s="1342"/>
      <c r="I48" s="1341" t="s">
        <v>1162</v>
      </c>
      <c r="J48" s="623" t="s">
        <v>1168</v>
      </c>
      <c r="K48" s="1310"/>
      <c r="L48" s="1227"/>
      <c r="M48" s="1228"/>
      <c r="N48" s="1228"/>
      <c r="O48" s="1228"/>
      <c r="P48" s="1228"/>
      <c r="Q48" s="1205"/>
      <c r="R48" s="1205"/>
      <c r="S48" s="1205"/>
      <c r="T48" s="1205"/>
      <c r="U48" s="1205"/>
      <c r="V48" s="1229"/>
      <c r="W48" s="1205"/>
      <c r="X48" s="1220"/>
      <c r="AA48" s="1230"/>
      <c r="AB48" s="1230"/>
    </row>
    <row r="49" spans="2:28" s="1315" customFormat="1" x14ac:dyDescent="0.25">
      <c r="B49" s="1225"/>
      <c r="C49" s="1232" t="s">
        <v>1119</v>
      </c>
      <c r="D49" s="1219" t="s">
        <v>7</v>
      </c>
      <c r="E49" s="1234" t="s">
        <v>1188</v>
      </c>
      <c r="F49" s="1318">
        <v>84</v>
      </c>
      <c r="G49" s="1327" t="s">
        <v>1194</v>
      </c>
      <c r="H49" s="1334"/>
      <c r="I49" s="1335" t="s">
        <v>1163</v>
      </c>
      <c r="J49" s="623" t="s">
        <v>1169</v>
      </c>
      <c r="K49" s="1310"/>
      <c r="L49" s="1227"/>
      <c r="M49" s="1228"/>
      <c r="N49" s="1228"/>
      <c r="O49" s="1228"/>
      <c r="P49" s="1228"/>
      <c r="Q49" s="1205"/>
      <c r="R49" s="1205"/>
      <c r="S49" s="1205"/>
      <c r="T49" s="1205"/>
      <c r="U49" s="1205"/>
      <c r="V49" s="1229"/>
      <c r="W49" s="1205"/>
      <c r="X49" s="1220"/>
      <c r="AA49" s="1230"/>
      <c r="AB49" s="1230"/>
    </row>
    <row r="50" spans="2:28" s="1315" customFormat="1" x14ac:dyDescent="0.25">
      <c r="B50" s="1225"/>
      <c r="C50" s="688" t="s">
        <v>1127</v>
      </c>
      <c r="D50" s="1219" t="s">
        <v>7</v>
      </c>
      <c r="E50" s="1234" t="s">
        <v>1188</v>
      </c>
      <c r="F50" s="1318">
        <v>16.850000000000001</v>
      </c>
      <c r="G50" s="1327" t="s">
        <v>1194</v>
      </c>
      <c r="H50" s="1343"/>
      <c r="I50" s="1344" t="s">
        <v>1164</v>
      </c>
      <c r="J50" s="623" t="s">
        <v>1170</v>
      </c>
      <c r="K50" s="1310"/>
      <c r="L50" s="1227"/>
      <c r="M50" s="1228"/>
      <c r="N50" s="1228"/>
      <c r="O50" s="1228"/>
      <c r="P50" s="1228"/>
      <c r="Q50" s="1205"/>
      <c r="R50" s="1205"/>
      <c r="S50" s="1205"/>
      <c r="T50" s="1205"/>
      <c r="U50" s="1205"/>
      <c r="V50" s="1229"/>
      <c r="W50" s="1205"/>
      <c r="X50" s="1220"/>
      <c r="AA50" s="1230"/>
      <c r="AB50" s="1230"/>
    </row>
    <row r="51" spans="2:28" s="1315" customFormat="1" x14ac:dyDescent="0.25">
      <c r="B51" s="1225"/>
      <c r="C51" s="688" t="s">
        <v>1122</v>
      </c>
      <c r="D51" s="1234" t="s">
        <v>7</v>
      </c>
      <c r="E51" s="1234" t="s">
        <v>1188</v>
      </c>
      <c r="F51" s="1322">
        <v>74.2</v>
      </c>
      <c r="G51" s="1327" t="s">
        <v>1194</v>
      </c>
      <c r="H51" s="1345"/>
      <c r="I51" s="1323" t="s">
        <v>1165</v>
      </c>
      <c r="J51" s="623" t="s">
        <v>1171</v>
      </c>
      <c r="K51" s="1310"/>
      <c r="L51" s="1227"/>
      <c r="M51" s="1228"/>
      <c r="N51" s="1228"/>
      <c r="O51" s="1228"/>
      <c r="P51" s="1228"/>
      <c r="Q51" s="1205"/>
      <c r="R51" s="1205"/>
      <c r="S51" s="1205"/>
      <c r="T51" s="1205"/>
      <c r="U51" s="1205"/>
      <c r="V51" s="1229"/>
      <c r="W51" s="1205"/>
      <c r="X51" s="1220"/>
      <c r="AA51" s="1230"/>
      <c r="AB51" s="1230"/>
    </row>
    <row r="52" spans="2:28" s="1315" customFormat="1" x14ac:dyDescent="0.25">
      <c r="B52" s="1225"/>
      <c r="C52" s="1309" t="s">
        <v>1123</v>
      </c>
      <c r="D52" s="1219" t="s">
        <v>7</v>
      </c>
      <c r="E52" s="1234" t="s">
        <v>1188</v>
      </c>
      <c r="F52" s="1318">
        <v>21.5</v>
      </c>
      <c r="G52" s="1327" t="s">
        <v>1194</v>
      </c>
      <c r="H52" s="1347"/>
      <c r="I52" s="1346" t="s">
        <v>1172</v>
      </c>
      <c r="J52" s="623" t="s">
        <v>1173</v>
      </c>
      <c r="K52" s="1310"/>
      <c r="L52" s="1227"/>
      <c r="M52" s="1228"/>
      <c r="N52" s="1228"/>
      <c r="O52" s="1228"/>
      <c r="P52" s="1228"/>
      <c r="Q52" s="1205"/>
      <c r="R52" s="1205"/>
      <c r="S52" s="1205"/>
      <c r="T52" s="1205"/>
      <c r="U52" s="1205"/>
      <c r="V52" s="1229"/>
      <c r="W52" s="1205"/>
      <c r="X52" s="1220"/>
      <c r="AA52" s="1230"/>
      <c r="AB52" s="1230"/>
    </row>
    <row r="53" spans="2:28" s="1315" customFormat="1" x14ac:dyDescent="0.25">
      <c r="B53" s="1225"/>
      <c r="C53" s="688" t="s">
        <v>1124</v>
      </c>
      <c r="D53" s="1219" t="s">
        <v>7</v>
      </c>
      <c r="E53" s="1234" t="s">
        <v>1188</v>
      </c>
      <c r="F53" s="1318">
        <v>19.3</v>
      </c>
      <c r="G53" s="1327" t="s">
        <v>1194</v>
      </c>
      <c r="H53" s="1348"/>
      <c r="I53" s="1328" t="s">
        <v>1175</v>
      </c>
      <c r="J53" s="623" t="s">
        <v>1174</v>
      </c>
      <c r="K53" s="1310"/>
      <c r="L53" s="1227"/>
      <c r="M53" s="1228"/>
      <c r="N53" s="1228"/>
      <c r="O53" s="1228"/>
      <c r="P53" s="1228"/>
      <c r="Q53" s="1205"/>
      <c r="R53" s="1205"/>
      <c r="S53" s="1205"/>
      <c r="T53" s="1205"/>
      <c r="U53" s="1205"/>
      <c r="V53" s="1229"/>
      <c r="W53" s="1205"/>
      <c r="X53" s="1220"/>
      <c r="AA53" s="1230"/>
      <c r="AB53" s="1230"/>
    </row>
    <row r="54" spans="2:28" s="1315" customFormat="1" x14ac:dyDescent="0.25">
      <c r="B54" s="1225"/>
      <c r="C54" s="688" t="s">
        <v>1125</v>
      </c>
      <c r="D54" s="1234" t="s">
        <v>7</v>
      </c>
      <c r="E54" s="1234" t="s">
        <v>1188</v>
      </c>
      <c r="F54" s="1318">
        <v>15</v>
      </c>
      <c r="G54" s="1327" t="s">
        <v>1194</v>
      </c>
      <c r="H54" s="1349"/>
      <c r="I54" s="1324" t="s">
        <v>1177</v>
      </c>
      <c r="J54" s="623" t="s">
        <v>1176</v>
      </c>
      <c r="K54" s="1310"/>
      <c r="L54" s="1227"/>
      <c r="M54" s="1228"/>
      <c r="N54" s="1228"/>
      <c r="O54" s="1228"/>
      <c r="P54" s="1228"/>
      <c r="Q54" s="1205"/>
      <c r="R54" s="1205"/>
      <c r="S54" s="1205"/>
      <c r="T54" s="1205"/>
      <c r="U54" s="1205"/>
      <c r="V54" s="1229"/>
      <c r="W54" s="1205"/>
      <c r="X54" s="1220"/>
      <c r="AA54" s="1230"/>
      <c r="AB54" s="1230"/>
    </row>
    <row r="55" spans="2:28" s="1315" customFormat="1" x14ac:dyDescent="0.25">
      <c r="B55" s="1225"/>
      <c r="C55" s="1232" t="s">
        <v>1129</v>
      </c>
      <c r="D55" s="1219" t="s">
        <v>7</v>
      </c>
      <c r="E55" s="1234" t="s">
        <v>1188</v>
      </c>
      <c r="F55" s="1318">
        <v>195</v>
      </c>
      <c r="G55" s="1327" t="s">
        <v>1194</v>
      </c>
      <c r="H55" s="1351"/>
      <c r="I55" s="1350" t="s">
        <v>1179</v>
      </c>
      <c r="J55" s="623" t="s">
        <v>1178</v>
      </c>
      <c r="K55" s="1310"/>
      <c r="L55" s="1227"/>
      <c r="M55" s="1228"/>
      <c r="N55" s="1228"/>
      <c r="O55" s="1228"/>
      <c r="P55" s="1228"/>
      <c r="Q55" s="1205"/>
      <c r="R55" s="1205"/>
      <c r="S55" s="1205"/>
      <c r="T55" s="1205"/>
      <c r="U55" s="1205"/>
      <c r="V55" s="1229"/>
      <c r="W55" s="1205"/>
      <c r="X55" s="1220"/>
      <c r="AA55" s="1230"/>
      <c r="AB55" s="1230"/>
    </row>
    <row r="56" spans="2:28" s="1315" customFormat="1" x14ac:dyDescent="0.25">
      <c r="B56" s="1225"/>
      <c r="C56" s="1232" t="s">
        <v>1130</v>
      </c>
      <c r="D56" s="1219" t="s">
        <v>7</v>
      </c>
      <c r="E56" s="1234" t="s">
        <v>1188</v>
      </c>
      <c r="F56" s="1318">
        <v>36.6</v>
      </c>
      <c r="G56" s="1327" t="s">
        <v>1194</v>
      </c>
      <c r="H56" s="1226"/>
      <c r="J56" s="1333"/>
      <c r="K56" s="1310"/>
      <c r="L56" s="1227"/>
      <c r="M56" s="1228"/>
      <c r="N56" s="1228"/>
      <c r="O56" s="1228"/>
      <c r="P56" s="1228"/>
      <c r="Q56" s="1205"/>
      <c r="R56" s="1205"/>
      <c r="S56" s="1205"/>
      <c r="T56" s="1205"/>
      <c r="U56" s="1205"/>
      <c r="V56" s="1229"/>
      <c r="W56" s="1205"/>
      <c r="X56" s="1220"/>
      <c r="AA56" s="1230"/>
      <c r="AB56" s="1230"/>
    </row>
    <row r="57" spans="2:28" s="1315" customFormat="1" x14ac:dyDescent="0.25">
      <c r="B57" s="1225"/>
      <c r="C57" s="1232" t="s">
        <v>1135</v>
      </c>
      <c r="D57" s="1219" t="s">
        <v>7</v>
      </c>
      <c r="E57" s="1234" t="s">
        <v>1188</v>
      </c>
      <c r="F57" s="1318">
        <v>5.3</v>
      </c>
      <c r="G57" s="1327" t="s">
        <v>1194</v>
      </c>
      <c r="J57" s="1333"/>
      <c r="K57" s="1310"/>
      <c r="L57" s="1227"/>
      <c r="M57" s="1228"/>
      <c r="N57" s="1228"/>
      <c r="O57" s="1228"/>
      <c r="P57" s="1228"/>
      <c r="Q57" s="1205"/>
      <c r="R57" s="1205"/>
      <c r="S57" s="1205"/>
      <c r="T57" s="1205"/>
      <c r="U57" s="1205"/>
      <c r="V57" s="1229"/>
      <c r="W57" s="1205"/>
      <c r="X57" s="1220"/>
      <c r="AA57" s="1230"/>
      <c r="AB57" s="1230"/>
    </row>
    <row r="58" spans="2:28" s="1315" customFormat="1" x14ac:dyDescent="0.25">
      <c r="B58" s="1225"/>
      <c r="C58" s="688" t="s">
        <v>1131</v>
      </c>
      <c r="D58" s="1219" t="s">
        <v>7</v>
      </c>
      <c r="E58" s="1234" t="s">
        <v>1187</v>
      </c>
      <c r="F58" s="1318">
        <v>258</v>
      </c>
      <c r="G58" s="1327" t="s">
        <v>1195</v>
      </c>
      <c r="H58" s="1328">
        <v>0.05</v>
      </c>
      <c r="J58" s="1333"/>
      <c r="K58" s="1310"/>
      <c r="L58" s="1227"/>
      <c r="M58" s="1228"/>
      <c r="N58" s="1228"/>
      <c r="O58" s="1228"/>
      <c r="P58" s="1228"/>
      <c r="Q58" s="1205"/>
      <c r="R58" s="1205"/>
      <c r="S58" s="1205"/>
      <c r="T58" s="1205"/>
      <c r="U58" s="1205"/>
      <c r="V58" s="1229"/>
      <c r="W58" s="1205"/>
      <c r="X58" s="1220"/>
      <c r="AA58" s="1230"/>
      <c r="AB58" s="1230"/>
    </row>
    <row r="59" spans="2:28" s="1315" customFormat="1" x14ac:dyDescent="0.25">
      <c r="B59" s="1225"/>
      <c r="C59" s="688" t="s">
        <v>1132</v>
      </c>
      <c r="D59" s="1219" t="s">
        <v>7</v>
      </c>
      <c r="E59" s="1234" t="s">
        <v>1189</v>
      </c>
      <c r="F59" s="1318">
        <v>160</v>
      </c>
      <c r="G59" s="1327" t="s">
        <v>1195</v>
      </c>
      <c r="H59" s="1328">
        <v>0.1</v>
      </c>
      <c r="J59" s="1333"/>
      <c r="K59" s="1310"/>
      <c r="L59" s="1227"/>
      <c r="M59" s="1228"/>
      <c r="N59" s="1228"/>
      <c r="O59" s="1228"/>
      <c r="P59" s="1228"/>
      <c r="Q59" s="1205"/>
      <c r="R59" s="1205"/>
      <c r="S59" s="1205"/>
      <c r="T59" s="1205"/>
      <c r="U59" s="1205"/>
      <c r="V59" s="1229"/>
      <c r="W59" s="1205"/>
      <c r="X59" s="1220"/>
      <c r="AA59" s="1230"/>
      <c r="AB59" s="1230"/>
    </row>
    <row r="60" spans="2:28" s="1315" customFormat="1" x14ac:dyDescent="0.25">
      <c r="B60" s="1225"/>
      <c r="C60" s="1232" t="s">
        <v>1133</v>
      </c>
      <c r="D60" s="1219" t="s">
        <v>7</v>
      </c>
      <c r="E60" s="1234" t="s">
        <v>1189</v>
      </c>
      <c r="F60" s="1318">
        <v>368</v>
      </c>
      <c r="G60" s="1327" t="s">
        <v>1195</v>
      </c>
      <c r="H60" s="1328">
        <v>1.4999999999999999E-2</v>
      </c>
      <c r="J60" s="1333"/>
      <c r="K60" s="1310"/>
      <c r="L60" s="1227"/>
      <c r="M60" s="1228"/>
      <c r="N60" s="1228"/>
      <c r="O60" s="1228"/>
      <c r="P60" s="1228"/>
      <c r="Q60" s="1205"/>
      <c r="R60" s="1205"/>
      <c r="S60" s="1205"/>
      <c r="T60" s="1205"/>
      <c r="U60" s="1205"/>
      <c r="V60" s="1229"/>
      <c r="W60" s="1205"/>
      <c r="X60" s="1220"/>
      <c r="AA60" s="1230"/>
      <c r="AB60" s="1230"/>
    </row>
    <row r="61" spans="2:28" s="1315" customFormat="1" x14ac:dyDescent="0.25">
      <c r="B61" s="1225"/>
      <c r="C61" s="1232" t="s">
        <v>1134</v>
      </c>
      <c r="D61" s="1219" t="s">
        <v>7</v>
      </c>
      <c r="E61" s="1234" t="s">
        <v>1188</v>
      </c>
      <c r="F61" s="1318">
        <v>99.75</v>
      </c>
      <c r="G61" s="1327" t="s">
        <v>1194</v>
      </c>
      <c r="H61" s="1328">
        <v>0.4</v>
      </c>
      <c r="J61" s="1333"/>
      <c r="K61" s="1310"/>
      <c r="L61" s="1227"/>
      <c r="M61" s="1228"/>
      <c r="N61" s="1228"/>
      <c r="O61" s="1228"/>
      <c r="P61" s="1228"/>
      <c r="Q61" s="1205"/>
      <c r="R61" s="1205"/>
      <c r="S61" s="1205"/>
      <c r="T61" s="1205"/>
      <c r="U61" s="1205"/>
      <c r="V61" s="1229"/>
      <c r="W61" s="1205"/>
      <c r="X61" s="1220"/>
      <c r="AA61" s="1230"/>
      <c r="AB61" s="1230"/>
    </row>
    <row r="62" spans="2:28" s="1315" customFormat="1" x14ac:dyDescent="0.25">
      <c r="B62" s="1225"/>
      <c r="C62" s="623" t="s">
        <v>1156</v>
      </c>
      <c r="D62" s="1219" t="s">
        <v>7</v>
      </c>
      <c r="E62" s="1234" t="s">
        <v>1189</v>
      </c>
      <c r="F62" s="1318">
        <v>100</v>
      </c>
      <c r="G62" s="1327" t="s">
        <v>1195</v>
      </c>
      <c r="H62" s="1328">
        <v>0.14299999999999999</v>
      </c>
      <c r="J62" s="1333"/>
      <c r="K62" s="1310"/>
      <c r="L62" s="1227"/>
      <c r="M62" s="1228"/>
      <c r="N62" s="1228"/>
      <c r="O62" s="1228"/>
      <c r="P62" s="1228"/>
      <c r="Q62" s="1205"/>
      <c r="R62" s="1205"/>
      <c r="S62" s="1205"/>
      <c r="T62" s="1205"/>
      <c r="U62" s="1205"/>
      <c r="V62" s="1229"/>
      <c r="W62" s="1205"/>
      <c r="X62" s="1220"/>
      <c r="AA62" s="1230"/>
      <c r="AB62" s="1230"/>
    </row>
    <row r="63" spans="2:28" s="1315" customFormat="1" x14ac:dyDescent="0.25">
      <c r="B63" s="1225"/>
      <c r="C63" s="1331" t="s">
        <v>1157</v>
      </c>
      <c r="D63" s="1219" t="s">
        <v>7</v>
      </c>
      <c r="E63" s="1234" t="s">
        <v>1189</v>
      </c>
      <c r="F63" s="1318">
        <v>95</v>
      </c>
      <c r="G63" s="1327" t="s">
        <v>1195</v>
      </c>
      <c r="H63" s="1328">
        <v>0.114</v>
      </c>
      <c r="J63" s="1333"/>
      <c r="K63" s="1310"/>
      <c r="L63" s="1227"/>
      <c r="M63" s="1228"/>
      <c r="N63" s="1228"/>
      <c r="O63" s="1228"/>
      <c r="P63" s="1228"/>
      <c r="Q63" s="1205"/>
      <c r="R63" s="1205"/>
      <c r="S63" s="1205"/>
      <c r="T63" s="1205"/>
      <c r="U63" s="1205"/>
      <c r="V63" s="1229"/>
      <c r="W63" s="1205"/>
      <c r="X63" s="1220"/>
      <c r="AA63" s="1230"/>
      <c r="AB63" s="1230"/>
    </row>
    <row r="64" spans="2:28" s="1371" customFormat="1" x14ac:dyDescent="0.25">
      <c r="B64" s="1225"/>
      <c r="C64" s="1427" t="s">
        <v>1244</v>
      </c>
      <c r="D64" s="1428" t="s">
        <v>7</v>
      </c>
      <c r="E64" s="1429" t="s">
        <v>1187</v>
      </c>
      <c r="F64" s="1318">
        <v>90</v>
      </c>
      <c r="G64" s="1327" t="s">
        <v>1195</v>
      </c>
      <c r="H64" s="1328"/>
      <c r="J64" s="1333"/>
      <c r="K64" s="1310"/>
      <c r="L64" s="1227"/>
      <c r="M64" s="1228"/>
      <c r="N64" s="1228"/>
      <c r="O64" s="1228"/>
      <c r="P64" s="1228"/>
      <c r="Q64" s="1205"/>
      <c r="R64" s="1205"/>
      <c r="S64" s="1205"/>
      <c r="T64" s="1205"/>
      <c r="U64" s="1205"/>
      <c r="V64" s="1229"/>
      <c r="W64" s="1205"/>
      <c r="X64" s="1220"/>
      <c r="AA64" s="1230"/>
      <c r="AB64" s="1230"/>
    </row>
    <row r="65" spans="2:28" s="1315" customFormat="1" x14ac:dyDescent="0.25">
      <c r="B65" s="1225"/>
      <c r="C65" s="1232" t="s">
        <v>1136</v>
      </c>
      <c r="D65" s="1219" t="s">
        <v>7</v>
      </c>
      <c r="E65" s="1234" t="s">
        <v>1188</v>
      </c>
      <c r="F65" s="1318">
        <v>4.3</v>
      </c>
      <c r="G65" s="1327" t="s">
        <v>1194</v>
      </c>
      <c r="H65" s="1226"/>
      <c r="J65" s="1333"/>
      <c r="K65" s="1310"/>
      <c r="L65" s="1227"/>
      <c r="M65" s="1228"/>
      <c r="N65" s="1228"/>
      <c r="O65" s="1228"/>
      <c r="P65" s="1228"/>
      <c r="Q65" s="1205"/>
      <c r="R65" s="1205"/>
      <c r="S65" s="1205"/>
      <c r="T65" s="1205"/>
      <c r="U65" s="1205"/>
      <c r="V65" s="1229"/>
      <c r="W65" s="1205"/>
      <c r="X65" s="1220"/>
      <c r="AA65" s="1230"/>
      <c r="AB65" s="1230"/>
    </row>
    <row r="66" spans="2:28" s="1315" customFormat="1" x14ac:dyDescent="0.25">
      <c r="B66" s="1225"/>
      <c r="C66" s="1232" t="s">
        <v>1137</v>
      </c>
      <c r="D66" s="1219" t="s">
        <v>7</v>
      </c>
      <c r="E66" s="1234" t="s">
        <v>1187</v>
      </c>
      <c r="F66" s="1318">
        <v>6.1</v>
      </c>
      <c r="G66" s="1327" t="s">
        <v>1195</v>
      </c>
      <c r="H66" s="1226"/>
      <c r="J66" s="1333"/>
      <c r="K66" s="1310"/>
      <c r="L66" s="1227"/>
      <c r="M66" s="1228"/>
      <c r="N66" s="1228"/>
      <c r="O66" s="1228"/>
      <c r="P66" s="1228"/>
      <c r="Q66" s="1205"/>
      <c r="R66" s="1205"/>
      <c r="S66" s="1205"/>
      <c r="T66" s="1205"/>
      <c r="U66" s="1205"/>
      <c r="V66" s="1229"/>
      <c r="W66" s="1205"/>
      <c r="X66" s="1220"/>
      <c r="AA66" s="1230"/>
      <c r="AB66" s="1230"/>
    </row>
    <row r="67" spans="2:28" s="1315" customFormat="1" x14ac:dyDescent="0.25">
      <c r="B67" s="1225"/>
      <c r="C67" s="1232" t="s">
        <v>1148</v>
      </c>
      <c r="D67" s="1219" t="s">
        <v>7</v>
      </c>
      <c r="E67" s="1234" t="s">
        <v>1188</v>
      </c>
      <c r="F67" s="1318">
        <v>3.9</v>
      </c>
      <c r="G67" s="1327" t="s">
        <v>1194</v>
      </c>
      <c r="H67" s="1226"/>
      <c r="J67" s="1333"/>
      <c r="K67" s="1310"/>
      <c r="L67" s="1227"/>
      <c r="M67" s="1228"/>
      <c r="N67" s="1228"/>
      <c r="O67" s="1228"/>
      <c r="P67" s="1228"/>
      <c r="Q67" s="1205"/>
      <c r="R67" s="1205"/>
      <c r="S67" s="1205"/>
      <c r="T67" s="1205"/>
      <c r="U67" s="1205"/>
      <c r="V67" s="1229"/>
      <c r="W67" s="1205"/>
      <c r="X67" s="1220"/>
      <c r="AA67" s="1230"/>
      <c r="AB67" s="1230"/>
    </row>
    <row r="68" spans="2:28" s="1315" customFormat="1" x14ac:dyDescent="0.25">
      <c r="B68" s="1225"/>
      <c r="C68" s="1232" t="s">
        <v>1139</v>
      </c>
      <c r="D68" s="1219" t="s">
        <v>7</v>
      </c>
      <c r="E68" s="1234" t="s">
        <v>1188</v>
      </c>
      <c r="F68" s="1318">
        <v>7.8</v>
      </c>
      <c r="G68" s="1327" t="s">
        <v>1194</v>
      </c>
      <c r="H68" s="1226"/>
      <c r="J68" s="1332"/>
      <c r="K68" s="1310"/>
      <c r="L68" s="1227"/>
      <c r="M68" s="1228"/>
      <c r="N68" s="1228"/>
      <c r="O68" s="1228"/>
      <c r="P68" s="1228"/>
      <c r="Q68" s="1205"/>
      <c r="R68" s="1205"/>
      <c r="S68" s="1205"/>
      <c r="T68" s="1205"/>
      <c r="U68" s="1205"/>
      <c r="V68" s="1229"/>
      <c r="W68" s="1205"/>
      <c r="X68" s="1220"/>
      <c r="AA68" s="1230"/>
      <c r="AB68" s="1230"/>
    </row>
    <row r="69" spans="2:28" s="1315" customFormat="1" x14ac:dyDescent="0.25">
      <c r="B69" s="1225"/>
      <c r="C69" s="1232" t="s">
        <v>1140</v>
      </c>
      <c r="D69" s="1219" t="s">
        <v>7</v>
      </c>
      <c r="E69" s="1234" t="s">
        <v>1188</v>
      </c>
      <c r="F69" s="1318">
        <v>22</v>
      </c>
      <c r="G69" s="1327" t="s">
        <v>1194</v>
      </c>
      <c r="H69" s="1226"/>
      <c r="J69" s="1332"/>
      <c r="K69" s="1310"/>
      <c r="L69" s="1227"/>
      <c r="M69" s="1228"/>
      <c r="N69" s="1228"/>
      <c r="O69" s="1228"/>
      <c r="P69" s="1228"/>
      <c r="Q69" s="1205"/>
      <c r="R69" s="1205"/>
      <c r="S69" s="1205"/>
      <c r="T69" s="1205"/>
      <c r="U69" s="1205"/>
      <c r="V69" s="1229"/>
      <c r="W69" s="1205"/>
      <c r="X69" s="1220"/>
      <c r="AA69" s="1230"/>
      <c r="AB69" s="1230"/>
    </row>
    <row r="70" spans="2:28" s="1315" customFormat="1" x14ac:dyDescent="0.25">
      <c r="B70" s="1225"/>
      <c r="C70" s="1232" t="s">
        <v>1147</v>
      </c>
      <c r="D70" s="1219" t="s">
        <v>7</v>
      </c>
      <c r="E70" s="1234" t="s">
        <v>1188</v>
      </c>
      <c r="F70" s="1318">
        <v>6.9</v>
      </c>
      <c r="G70" s="1327" t="s">
        <v>1194</v>
      </c>
      <c r="H70" s="1226"/>
      <c r="J70" s="1332"/>
      <c r="K70" s="1310"/>
      <c r="L70" s="1227"/>
      <c r="M70" s="1228"/>
      <c r="N70" s="1228"/>
      <c r="O70" s="1228"/>
      <c r="P70" s="1228"/>
      <c r="Q70" s="1205"/>
      <c r="R70" s="1205"/>
      <c r="S70" s="1205"/>
      <c r="T70" s="1205"/>
      <c r="U70" s="1205"/>
      <c r="V70" s="1229"/>
      <c r="W70" s="1205"/>
      <c r="X70" s="1220"/>
      <c r="AA70" s="1230"/>
      <c r="AB70" s="1230"/>
    </row>
    <row r="71" spans="2:28" s="1315" customFormat="1" x14ac:dyDescent="0.25">
      <c r="B71" s="1225"/>
      <c r="C71" s="1232" t="s">
        <v>1141</v>
      </c>
      <c r="D71" s="1219" t="s">
        <v>7</v>
      </c>
      <c r="E71" s="1234" t="s">
        <v>1188</v>
      </c>
      <c r="F71" s="1318">
        <v>7.2</v>
      </c>
      <c r="G71" s="1327" t="s">
        <v>1194</v>
      </c>
      <c r="H71" s="1226"/>
      <c r="J71" s="1333"/>
      <c r="K71" s="1310"/>
      <c r="L71" s="1227"/>
      <c r="M71" s="1228"/>
      <c r="N71" s="1228"/>
      <c r="O71" s="1228"/>
      <c r="P71" s="1228"/>
      <c r="Q71" s="1205"/>
      <c r="R71" s="1205"/>
      <c r="S71" s="1205"/>
      <c r="T71" s="1205"/>
      <c r="U71" s="1205"/>
      <c r="V71" s="1229"/>
      <c r="W71" s="1205"/>
      <c r="X71" s="1220"/>
      <c r="AA71" s="1230"/>
      <c r="AB71" s="1230"/>
    </row>
    <row r="72" spans="2:28" s="1315" customFormat="1" x14ac:dyDescent="0.25">
      <c r="B72" s="1225"/>
      <c r="C72" s="688" t="s">
        <v>1149</v>
      </c>
      <c r="D72" s="1219" t="s">
        <v>7</v>
      </c>
      <c r="E72" s="1234" t="s">
        <v>1188</v>
      </c>
      <c r="F72" s="1318">
        <v>25</v>
      </c>
      <c r="G72" s="1327" t="s">
        <v>1194</v>
      </c>
      <c r="H72" s="1226"/>
      <c r="J72" s="1333"/>
      <c r="K72" s="1310"/>
      <c r="L72" s="1227"/>
      <c r="M72" s="1228"/>
      <c r="N72" s="1228"/>
      <c r="O72" s="1228"/>
      <c r="P72" s="1228"/>
      <c r="Q72" s="1205"/>
      <c r="R72" s="1205"/>
      <c r="S72" s="1205"/>
      <c r="T72" s="1205"/>
      <c r="U72" s="1205"/>
      <c r="V72" s="1229"/>
      <c r="W72" s="1205"/>
      <c r="X72" s="1220"/>
      <c r="AA72" s="1230"/>
      <c r="AB72" s="1230"/>
    </row>
    <row r="73" spans="2:28" s="1315" customFormat="1" x14ac:dyDescent="0.25">
      <c r="B73" s="1225"/>
      <c r="C73" s="688" t="s">
        <v>1150</v>
      </c>
      <c r="D73" s="1219" t="s">
        <v>7</v>
      </c>
      <c r="E73" s="1234" t="s">
        <v>1188</v>
      </c>
      <c r="F73" s="1318">
        <v>36.5</v>
      </c>
      <c r="G73" s="1327" t="s">
        <v>1194</v>
      </c>
      <c r="H73" s="1226"/>
      <c r="J73" s="1333"/>
      <c r="K73" s="1310"/>
      <c r="L73" s="1227"/>
      <c r="M73" s="1228"/>
      <c r="N73" s="1228"/>
      <c r="O73" s="1228"/>
      <c r="P73" s="1228"/>
      <c r="Q73" s="1205"/>
      <c r="R73" s="1205"/>
      <c r="S73" s="1205"/>
      <c r="T73" s="1205"/>
      <c r="U73" s="1205"/>
      <c r="V73" s="1229"/>
      <c r="W73" s="1205"/>
      <c r="X73" s="1220"/>
      <c r="AA73" s="1230"/>
      <c r="AB73" s="1230"/>
    </row>
    <row r="74" spans="2:28" s="1315" customFormat="1" x14ac:dyDescent="0.25">
      <c r="B74" s="1225"/>
      <c r="C74" s="1232" t="s">
        <v>1142</v>
      </c>
      <c r="D74" s="1234" t="s">
        <v>7</v>
      </c>
      <c r="E74" s="1234" t="s">
        <v>1188</v>
      </c>
      <c r="F74" s="1318">
        <v>4.6500000000000004</v>
      </c>
      <c r="G74" s="1327" t="s">
        <v>1194</v>
      </c>
      <c r="H74" s="1226"/>
      <c r="J74" s="1333"/>
      <c r="K74" s="1310"/>
      <c r="L74" s="1227"/>
      <c r="M74" s="1228"/>
      <c r="N74" s="1228"/>
      <c r="O74" s="1228"/>
      <c r="P74" s="1228"/>
      <c r="Q74" s="1205"/>
      <c r="R74" s="1205"/>
      <c r="S74" s="1205"/>
      <c r="T74" s="1205"/>
      <c r="U74" s="1205"/>
      <c r="V74" s="1229"/>
      <c r="W74" s="1205"/>
      <c r="X74" s="1220"/>
      <c r="AA74" s="1230"/>
      <c r="AB74" s="1230"/>
    </row>
    <row r="75" spans="2:28" x14ac:dyDescent="0.25">
      <c r="B75" s="1225"/>
      <c r="C75" s="1232" t="s">
        <v>1144</v>
      </c>
      <c r="D75" s="1234" t="s">
        <v>7</v>
      </c>
      <c r="E75" s="1234" t="s">
        <v>1188</v>
      </c>
      <c r="F75" s="1318">
        <v>5.65</v>
      </c>
      <c r="G75" s="1327" t="s">
        <v>1194</v>
      </c>
      <c r="H75" s="1226"/>
      <c r="I75" s="1202"/>
      <c r="J75" s="1333"/>
      <c r="K75" s="1310"/>
      <c r="L75" s="1227"/>
      <c r="M75" s="1228"/>
      <c r="N75" s="1228"/>
      <c r="O75" s="1228"/>
      <c r="P75" s="1228"/>
      <c r="Q75" s="1205"/>
      <c r="R75" s="1205"/>
      <c r="S75" s="1205"/>
      <c r="T75" s="1205"/>
      <c r="U75" s="1205"/>
      <c r="V75" s="1229"/>
      <c r="W75" s="1205"/>
      <c r="X75" s="1220"/>
      <c r="AA75" s="1230"/>
      <c r="AB75" s="1230"/>
    </row>
    <row r="76" spans="2:28" x14ac:dyDescent="0.25">
      <c r="B76" s="1225"/>
      <c r="C76" s="1232" t="s">
        <v>1143</v>
      </c>
      <c r="D76" s="1234" t="s">
        <v>7</v>
      </c>
      <c r="E76" s="1234" t="s">
        <v>1188</v>
      </c>
      <c r="F76" s="1318">
        <v>5.3</v>
      </c>
      <c r="G76" s="1327" t="s">
        <v>1194</v>
      </c>
      <c r="H76" s="1226"/>
      <c r="I76" s="1202"/>
      <c r="J76" s="1333"/>
      <c r="K76" s="1310"/>
      <c r="L76" s="1227"/>
      <c r="M76" s="1228"/>
      <c r="N76" s="1228"/>
      <c r="O76" s="1228"/>
      <c r="P76" s="1228"/>
      <c r="Q76" s="1205"/>
      <c r="R76" s="1205"/>
      <c r="S76" s="1205"/>
      <c r="T76" s="1205"/>
      <c r="U76" s="1205"/>
      <c r="V76" s="1229"/>
      <c r="W76" s="1205"/>
      <c r="X76" s="1220"/>
      <c r="AA76" s="1230"/>
      <c r="AB76" s="1230"/>
    </row>
    <row r="77" spans="2:28" s="1315" customFormat="1" x14ac:dyDescent="0.25">
      <c r="B77" s="1225"/>
      <c r="C77" s="1232" t="s">
        <v>1145</v>
      </c>
      <c r="D77" s="1234" t="s">
        <v>7</v>
      </c>
      <c r="E77" s="1234" t="s">
        <v>1187</v>
      </c>
      <c r="F77" s="1318">
        <v>305</v>
      </c>
      <c r="G77" s="1327" t="s">
        <v>1195</v>
      </c>
      <c r="H77" s="1226"/>
      <c r="J77" s="1333"/>
      <c r="K77" s="1310"/>
      <c r="L77" s="1227"/>
      <c r="M77" s="1228"/>
      <c r="N77" s="1228"/>
      <c r="O77" s="1228"/>
      <c r="P77" s="1228"/>
      <c r="Q77" s="1205"/>
      <c r="R77" s="1205"/>
      <c r="S77" s="1205"/>
      <c r="T77" s="1205"/>
      <c r="U77" s="1205"/>
      <c r="V77" s="1229"/>
      <c r="W77" s="1205"/>
      <c r="X77" s="1220"/>
      <c r="AA77" s="1230"/>
      <c r="AB77" s="1230"/>
    </row>
    <row r="78" spans="2:28" s="1315" customFormat="1" x14ac:dyDescent="0.25">
      <c r="B78" s="1225"/>
      <c r="C78" s="1232" t="s">
        <v>1146</v>
      </c>
      <c r="D78" s="1219" t="s">
        <v>7</v>
      </c>
      <c r="E78" s="1234" t="s">
        <v>1188</v>
      </c>
      <c r="F78" s="1318">
        <v>99</v>
      </c>
      <c r="G78" s="1327" t="s">
        <v>1194</v>
      </c>
      <c r="H78" s="1226"/>
      <c r="J78" s="1333"/>
      <c r="K78" s="1310"/>
      <c r="L78" s="1227"/>
      <c r="M78" s="1228"/>
      <c r="N78" s="1228"/>
      <c r="O78" s="1228"/>
      <c r="P78" s="1228"/>
      <c r="Q78" s="1205"/>
      <c r="R78" s="1205"/>
      <c r="S78" s="1205"/>
      <c r="T78" s="1205"/>
      <c r="U78" s="1205"/>
      <c r="V78" s="1229"/>
      <c r="W78" s="1205"/>
      <c r="X78" s="1220"/>
      <c r="AA78" s="1230"/>
      <c r="AB78" s="1230"/>
    </row>
    <row r="79" spans="2:28" x14ac:dyDescent="0.25">
      <c r="B79" s="1225"/>
      <c r="C79" s="688" t="s">
        <v>1152</v>
      </c>
      <c r="D79" s="1219" t="s">
        <v>7</v>
      </c>
      <c r="E79" s="1234" t="s">
        <v>1188</v>
      </c>
      <c r="F79" s="1318">
        <v>7.5</v>
      </c>
      <c r="G79" s="1327" t="s">
        <v>1194</v>
      </c>
      <c r="H79" s="1226"/>
      <c r="I79" s="1202"/>
      <c r="J79" s="1333"/>
      <c r="K79" s="1310"/>
      <c r="L79" s="1227"/>
      <c r="M79" s="1228"/>
      <c r="N79" s="1228"/>
      <c r="O79" s="1228"/>
      <c r="P79" s="1228"/>
      <c r="Q79" s="1205"/>
      <c r="R79" s="1205"/>
      <c r="S79" s="1205"/>
      <c r="T79" s="1205"/>
      <c r="U79" s="1205"/>
      <c r="V79" s="1229"/>
      <c r="W79" s="1205"/>
      <c r="X79" s="1220"/>
      <c r="AA79" s="1230"/>
      <c r="AB79" s="1230"/>
    </row>
    <row r="80" spans="2:28" x14ac:dyDescent="0.25">
      <c r="B80" s="1225"/>
      <c r="C80" s="688" t="s">
        <v>1153</v>
      </c>
      <c r="D80" s="1219" t="s">
        <v>7</v>
      </c>
      <c r="E80" s="1234" t="s">
        <v>1188</v>
      </c>
      <c r="F80" s="1318">
        <v>20.5</v>
      </c>
      <c r="G80" s="1327" t="s">
        <v>1194</v>
      </c>
      <c r="H80" s="1226"/>
      <c r="I80" s="1202"/>
      <c r="J80" s="1333"/>
      <c r="K80" s="1310"/>
      <c r="L80" s="1227"/>
      <c r="M80" s="1228"/>
      <c r="N80" s="1228"/>
      <c r="O80" s="1228"/>
      <c r="P80" s="1228"/>
      <c r="Q80" s="1205"/>
      <c r="R80" s="1205"/>
      <c r="S80" s="1205"/>
      <c r="T80" s="1205"/>
      <c r="U80" s="1205"/>
      <c r="V80" s="1229"/>
      <c r="W80" s="1205"/>
      <c r="X80" s="1220"/>
      <c r="AA80" s="1230"/>
      <c r="AB80" s="1230"/>
    </row>
    <row r="81" spans="2:29" x14ac:dyDescent="0.25">
      <c r="B81" s="1225"/>
      <c r="C81" s="1232" t="s">
        <v>1151</v>
      </c>
      <c r="D81" s="1234" t="s">
        <v>7</v>
      </c>
      <c r="E81" s="1234" t="s">
        <v>1188</v>
      </c>
      <c r="F81" s="1318">
        <v>3.1</v>
      </c>
      <c r="G81" s="1327" t="s">
        <v>1194</v>
      </c>
      <c r="H81" s="1226"/>
      <c r="I81" s="1202"/>
      <c r="J81" s="1333"/>
      <c r="K81" s="1310"/>
      <c r="L81" s="1227"/>
      <c r="M81" s="1228"/>
      <c r="N81" s="1228"/>
      <c r="O81" s="1228"/>
      <c r="P81" s="1228"/>
      <c r="Q81" s="1205"/>
      <c r="R81" s="1205"/>
      <c r="S81" s="1205"/>
      <c r="T81" s="1205"/>
      <c r="U81" s="1205"/>
      <c r="V81" s="1229"/>
      <c r="W81" s="1205"/>
      <c r="X81" s="1220"/>
      <c r="AA81" s="1230"/>
      <c r="AB81" s="1230"/>
    </row>
    <row r="82" spans="2:29" s="1372" customFormat="1" x14ac:dyDescent="0.25">
      <c r="B82" s="1225"/>
      <c r="C82" s="1232" t="s">
        <v>1223</v>
      </c>
      <c r="D82" s="1234" t="s">
        <v>7</v>
      </c>
      <c r="E82" s="1234" t="s">
        <v>1188</v>
      </c>
      <c r="F82" s="1318">
        <v>6.5</v>
      </c>
      <c r="G82" s="1327" t="s">
        <v>1194</v>
      </c>
      <c r="H82" s="1226"/>
      <c r="J82" s="1333"/>
      <c r="K82" s="1310"/>
      <c r="L82" s="1227"/>
      <c r="M82" s="1228"/>
      <c r="N82" s="1228"/>
      <c r="O82" s="1228"/>
      <c r="P82" s="1228"/>
      <c r="Q82" s="1205"/>
      <c r="R82" s="1205"/>
      <c r="S82" s="1205"/>
      <c r="T82" s="1205"/>
      <c r="U82" s="1205"/>
      <c r="V82" s="1229"/>
      <c r="W82" s="1205"/>
      <c r="X82" s="1220"/>
      <c r="AA82" s="1230"/>
      <c r="AB82" s="1230"/>
    </row>
    <row r="83" spans="2:29" x14ac:dyDescent="0.25">
      <c r="B83" s="1225"/>
      <c r="C83" s="688" t="s">
        <v>1154</v>
      </c>
      <c r="D83" s="1219" t="s">
        <v>7</v>
      </c>
      <c r="E83" s="1234" t="s">
        <v>1188</v>
      </c>
      <c r="F83" s="1318">
        <v>33.799999999999997</v>
      </c>
      <c r="G83" s="1327" t="s">
        <v>1194</v>
      </c>
      <c r="H83" s="1226"/>
      <c r="I83" s="1202"/>
      <c r="J83" s="1333"/>
      <c r="K83" s="1310"/>
      <c r="L83" s="1227"/>
      <c r="M83" s="1228"/>
      <c r="N83" s="1228"/>
      <c r="O83" s="1228"/>
      <c r="P83" s="1228"/>
      <c r="Q83" s="1205"/>
      <c r="R83" s="1205"/>
      <c r="S83" s="1205"/>
      <c r="T83" s="1205"/>
      <c r="U83" s="1205"/>
      <c r="V83" s="1229"/>
      <c r="W83" s="1205"/>
      <c r="X83" s="1220"/>
      <c r="AA83" s="1230"/>
      <c r="AB83" s="1230"/>
    </row>
    <row r="84" spans="2:29" x14ac:dyDescent="0.25">
      <c r="B84" s="1225"/>
      <c r="C84" s="1235" t="s">
        <v>1155</v>
      </c>
      <c r="D84" s="1234" t="s">
        <v>7</v>
      </c>
      <c r="E84" s="1234" t="s">
        <v>1188</v>
      </c>
      <c r="F84" s="1318">
        <v>305</v>
      </c>
      <c r="G84" s="1327" t="s">
        <v>1194</v>
      </c>
      <c r="H84" s="1226"/>
      <c r="I84" s="1202"/>
      <c r="J84" s="1333"/>
      <c r="K84" s="1310"/>
      <c r="L84" s="1227"/>
      <c r="M84" s="1228"/>
      <c r="N84" s="1228"/>
      <c r="O84" s="1228"/>
      <c r="P84" s="1228"/>
      <c r="Q84" s="1205"/>
      <c r="R84" s="1205"/>
      <c r="S84" s="1205"/>
      <c r="T84" s="1205"/>
      <c r="U84" s="1205"/>
      <c r="V84" s="1229"/>
      <c r="W84" s="1205"/>
      <c r="X84" s="1220"/>
      <c r="AA84" s="1230"/>
      <c r="AB84" s="1230"/>
    </row>
    <row r="85" spans="2:29" s="261" customFormat="1" x14ac:dyDescent="0.25">
      <c r="C85" s="1232" t="s">
        <v>1158</v>
      </c>
      <c r="D85" s="1219" t="s">
        <v>7</v>
      </c>
      <c r="E85" s="1234" t="s">
        <v>1189</v>
      </c>
      <c r="F85" s="1318">
        <v>180</v>
      </c>
      <c r="G85" s="1327" t="s">
        <v>1195</v>
      </c>
      <c r="H85" s="719"/>
      <c r="J85" s="1333"/>
      <c r="K85" s="1311"/>
      <c r="L85" s="691"/>
      <c r="M85" s="691"/>
      <c r="N85" s="692"/>
      <c r="O85" s="692"/>
      <c r="P85" s="692"/>
      <c r="Q85" s="692"/>
      <c r="R85" s="692"/>
      <c r="S85" s="692"/>
      <c r="T85" s="692"/>
      <c r="U85" s="692"/>
      <c r="V85" s="244"/>
      <c r="W85" s="244"/>
      <c r="X85" s="244"/>
      <c r="Y85" s="244"/>
      <c r="Z85" s="244"/>
      <c r="AA85" s="244"/>
      <c r="AB85" s="244"/>
      <c r="AC85" s="244"/>
    </row>
    <row r="86" spans="2:29" x14ac:dyDescent="0.25">
      <c r="C86" s="1235"/>
      <c r="D86" s="1234"/>
      <c r="E86" s="1234"/>
      <c r="F86" s="1318"/>
      <c r="G86" s="1328"/>
      <c r="H86" s="1226"/>
      <c r="I86" s="1202"/>
      <c r="J86" s="1333"/>
      <c r="K86" s="1310"/>
      <c r="L86" s="1227"/>
      <c r="M86" s="1226"/>
      <c r="N86" s="1228"/>
      <c r="O86" s="1228"/>
      <c r="P86" s="1228"/>
      <c r="S86" s="1205"/>
      <c r="AA86" s="1224"/>
      <c r="AB86" s="1230"/>
    </row>
    <row r="87" spans="2:29" x14ac:dyDescent="0.25">
      <c r="B87" s="1217"/>
      <c r="C87" s="1231" t="s">
        <v>36</v>
      </c>
      <c r="D87" s="1219" t="s">
        <v>7</v>
      </c>
      <c r="E87" s="1234" t="s">
        <v>1191</v>
      </c>
      <c r="F87" s="1318">
        <v>17</v>
      </c>
      <c r="G87" s="1327" t="s">
        <v>189</v>
      </c>
      <c r="H87" s="1226"/>
      <c r="I87" s="1202"/>
      <c r="J87" s="1333"/>
      <c r="K87" s="1310"/>
      <c r="L87" s="1227"/>
      <c r="M87" s="1671"/>
      <c r="N87" s="1228"/>
      <c r="O87" s="1228"/>
      <c r="P87" s="1228"/>
      <c r="Q87" s="1205"/>
      <c r="R87" s="1205"/>
      <c r="S87" s="1205"/>
      <c r="T87" s="1205"/>
      <c r="U87" s="1205"/>
      <c r="V87" s="1229"/>
      <c r="W87" s="1205"/>
      <c r="X87" s="1220"/>
      <c r="AA87" s="1224"/>
      <c r="AB87" s="1230"/>
    </row>
    <row r="88" spans="2:29" x14ac:dyDescent="0.25">
      <c r="B88" s="1217"/>
      <c r="C88" s="1231" t="s">
        <v>37</v>
      </c>
      <c r="D88" s="1219" t="s">
        <v>7</v>
      </c>
      <c r="E88" s="1234" t="s">
        <v>1191</v>
      </c>
      <c r="F88" s="1318">
        <v>38</v>
      </c>
      <c r="G88" s="1327" t="s">
        <v>189</v>
      </c>
      <c r="H88" s="1226"/>
      <c r="I88" s="1202"/>
      <c r="J88" s="1333"/>
      <c r="K88" s="1310"/>
      <c r="L88" s="1227"/>
      <c r="M88" s="1671"/>
      <c r="N88" s="1228"/>
      <c r="O88" s="1228"/>
      <c r="P88" s="1228"/>
      <c r="Q88" s="1205"/>
      <c r="R88" s="1205"/>
      <c r="S88" s="1205"/>
      <c r="T88" s="1205"/>
      <c r="U88" s="1205"/>
      <c r="V88" s="1229"/>
      <c r="W88" s="1205"/>
      <c r="X88" s="1220"/>
      <c r="AA88" s="1224"/>
      <c r="AB88" s="1230"/>
    </row>
    <row r="89" spans="2:29" x14ac:dyDescent="0.25">
      <c r="B89" s="1217"/>
      <c r="C89" s="1232" t="s">
        <v>38</v>
      </c>
      <c r="D89" s="1219" t="s">
        <v>7</v>
      </c>
      <c r="E89" s="1234" t="s">
        <v>1191</v>
      </c>
      <c r="F89" s="1318">
        <v>190</v>
      </c>
      <c r="G89" s="1327" t="s">
        <v>189</v>
      </c>
      <c r="H89" s="1226"/>
      <c r="I89" s="1202"/>
      <c r="J89" s="1333"/>
      <c r="K89" s="1310"/>
      <c r="L89" s="1227"/>
      <c r="M89" s="1671"/>
      <c r="N89" s="1228"/>
      <c r="O89" s="1228"/>
      <c r="P89" s="1228"/>
      <c r="Q89" s="1205"/>
      <c r="R89" s="1205"/>
      <c r="S89" s="1205"/>
      <c r="T89" s="1205"/>
      <c r="U89" s="1205"/>
      <c r="V89" s="1229"/>
      <c r="W89" s="1205"/>
      <c r="X89" s="1220"/>
      <c r="AA89" s="1224"/>
      <c r="AB89" s="1230"/>
    </row>
    <row r="90" spans="2:29" s="1503" customFormat="1" x14ac:dyDescent="0.25">
      <c r="B90" s="1217"/>
      <c r="C90" s="1232" t="s">
        <v>1238</v>
      </c>
      <c r="D90" s="1219" t="s">
        <v>7</v>
      </c>
      <c r="E90" s="1234" t="s">
        <v>1191</v>
      </c>
      <c r="F90" s="1318">
        <v>180</v>
      </c>
      <c r="G90" s="1327" t="s">
        <v>189</v>
      </c>
      <c r="H90" s="1226"/>
      <c r="J90" s="1333"/>
      <c r="K90" s="1310"/>
      <c r="L90" s="1227"/>
      <c r="M90" s="1671"/>
      <c r="N90" s="1228"/>
      <c r="O90" s="1228"/>
      <c r="P90" s="1228"/>
      <c r="Q90" s="1205"/>
      <c r="R90" s="1205"/>
      <c r="S90" s="1205"/>
      <c r="T90" s="1205"/>
      <c r="U90" s="1205"/>
      <c r="V90" s="1229"/>
      <c r="W90" s="1205"/>
      <c r="X90" s="1220"/>
      <c r="AA90" s="1224"/>
      <c r="AB90" s="1230"/>
    </row>
    <row r="91" spans="2:29" x14ac:dyDescent="0.25">
      <c r="B91" s="1217"/>
      <c r="C91" s="1232" t="s">
        <v>39</v>
      </c>
      <c r="D91" s="1219" t="s">
        <v>7</v>
      </c>
      <c r="E91" s="1234" t="s">
        <v>1191</v>
      </c>
      <c r="F91" s="1318">
        <v>250</v>
      </c>
      <c r="G91" s="1327" t="s">
        <v>189</v>
      </c>
      <c r="H91" s="1226"/>
      <c r="I91" s="1202"/>
      <c r="J91" s="1333"/>
      <c r="K91" s="1310"/>
      <c r="L91" s="1227"/>
      <c r="M91" s="1671"/>
      <c r="N91" s="1228"/>
      <c r="O91" s="1228"/>
      <c r="P91" s="1228"/>
      <c r="Q91" s="1205"/>
      <c r="R91" s="1205"/>
      <c r="S91" s="1205"/>
      <c r="T91" s="1205"/>
      <c r="U91" s="1205"/>
      <c r="V91" s="1229"/>
      <c r="W91" s="1205"/>
      <c r="X91" s="1220"/>
      <c r="AA91" s="1224"/>
      <c r="AB91" s="1230"/>
    </row>
    <row r="92" spans="2:29" x14ac:dyDescent="0.25">
      <c r="B92" s="1236"/>
      <c r="C92" s="1232" t="s">
        <v>40</v>
      </c>
      <c r="D92" s="1234" t="s">
        <v>7</v>
      </c>
      <c r="E92" s="1234" t="s">
        <v>1191</v>
      </c>
      <c r="F92" s="1318">
        <v>150</v>
      </c>
      <c r="G92" s="1327" t="s">
        <v>189</v>
      </c>
      <c r="H92" s="1226"/>
      <c r="I92" s="1202"/>
      <c r="J92" s="1333"/>
      <c r="K92" s="1310"/>
      <c r="L92" s="1227"/>
      <c r="M92" s="1671"/>
      <c r="N92" s="1228"/>
      <c r="O92" s="1228"/>
      <c r="P92" s="1228"/>
      <c r="Q92" s="1205"/>
      <c r="R92" s="1205"/>
      <c r="S92" s="1205"/>
      <c r="T92" s="1205"/>
      <c r="U92" s="1205"/>
      <c r="V92" s="1229"/>
      <c r="W92" s="1205"/>
      <c r="X92" s="1220"/>
      <c r="AA92" s="1237"/>
      <c r="AB92" s="1230"/>
    </row>
    <row r="93" spans="2:29" s="1372" customFormat="1" x14ac:dyDescent="0.25">
      <c r="B93" s="1236"/>
      <c r="C93" s="1232" t="s">
        <v>1225</v>
      </c>
      <c r="D93" s="1234" t="s">
        <v>7</v>
      </c>
      <c r="E93" s="1234" t="s">
        <v>1187</v>
      </c>
      <c r="F93" s="1318">
        <v>0.9</v>
      </c>
      <c r="G93" s="1327" t="s">
        <v>1195</v>
      </c>
      <c r="H93" s="1226"/>
      <c r="J93" s="1333"/>
      <c r="K93" s="1310"/>
      <c r="L93" s="1227"/>
      <c r="M93" s="1671"/>
      <c r="N93" s="1228"/>
      <c r="O93" s="1228"/>
      <c r="P93" s="1228"/>
      <c r="Q93" s="1205"/>
      <c r="R93" s="1205"/>
      <c r="S93" s="1205"/>
      <c r="T93" s="1205"/>
      <c r="U93" s="1205"/>
      <c r="V93" s="1229"/>
      <c r="W93" s="1205"/>
      <c r="X93" s="1220"/>
      <c r="AA93" s="1237"/>
      <c r="AB93" s="1230"/>
    </row>
    <row r="94" spans="2:29" x14ac:dyDescent="0.25">
      <c r="B94" s="1236"/>
      <c r="C94" s="1232" t="s">
        <v>41</v>
      </c>
      <c r="D94" s="1234" t="s">
        <v>7</v>
      </c>
      <c r="E94" s="1234" t="s">
        <v>1187</v>
      </c>
      <c r="F94" s="1318">
        <v>1.8</v>
      </c>
      <c r="G94" s="1327" t="s">
        <v>1195</v>
      </c>
      <c r="H94" s="1226"/>
      <c r="I94" s="1202"/>
      <c r="J94" s="1333"/>
      <c r="K94" s="1310"/>
      <c r="L94" s="1227"/>
      <c r="M94" s="1671"/>
      <c r="N94" s="1228"/>
      <c r="O94" s="1228"/>
      <c r="P94" s="1228"/>
      <c r="Q94" s="1205"/>
      <c r="R94" s="1205"/>
      <c r="S94" s="1205"/>
      <c r="T94" s="1205"/>
      <c r="U94" s="1205"/>
      <c r="V94" s="1229"/>
      <c r="W94" s="1205"/>
      <c r="X94" s="1220"/>
      <c r="AA94" s="1237"/>
      <c r="AB94" s="1230"/>
    </row>
    <row r="95" spans="2:29" x14ac:dyDescent="0.25">
      <c r="B95" s="1236"/>
      <c r="C95" s="1232" t="s">
        <v>42</v>
      </c>
      <c r="D95" s="1234" t="s">
        <v>7</v>
      </c>
      <c r="E95" s="1234" t="s">
        <v>1187</v>
      </c>
      <c r="F95" s="1318">
        <v>0.8</v>
      </c>
      <c r="G95" s="1327" t="s">
        <v>1195</v>
      </c>
      <c r="H95" s="1226"/>
      <c r="I95" s="1202"/>
      <c r="J95" s="1333"/>
      <c r="K95" s="1310"/>
      <c r="L95" s="1227"/>
      <c r="M95" s="1671"/>
      <c r="N95" s="1228"/>
      <c r="O95" s="1228"/>
      <c r="P95" s="1228"/>
      <c r="Q95" s="1205"/>
      <c r="R95" s="1205"/>
      <c r="S95" s="1205"/>
      <c r="T95" s="1205"/>
      <c r="U95" s="1205"/>
      <c r="V95" s="1229"/>
      <c r="W95" s="1205"/>
      <c r="X95" s="1220"/>
      <c r="AA95" s="1237"/>
      <c r="AB95" s="1230"/>
    </row>
    <row r="96" spans="2:29" x14ac:dyDescent="0.25">
      <c r="B96" s="1236"/>
      <c r="C96" s="1232" t="s">
        <v>43</v>
      </c>
      <c r="D96" s="1234" t="s">
        <v>7</v>
      </c>
      <c r="E96" s="1234" t="s">
        <v>1187</v>
      </c>
      <c r="F96" s="1318">
        <v>1</v>
      </c>
      <c r="G96" s="1327" t="s">
        <v>1195</v>
      </c>
      <c r="H96" s="1226"/>
      <c r="I96" s="1202"/>
      <c r="J96" s="1333"/>
      <c r="K96" s="1310"/>
      <c r="L96" s="1227"/>
      <c r="M96" s="1671"/>
      <c r="N96" s="1228"/>
      <c r="O96" s="1228"/>
      <c r="P96" s="1228"/>
      <c r="Q96" s="1205"/>
      <c r="R96" s="1205"/>
      <c r="S96" s="1205"/>
      <c r="T96" s="1205"/>
      <c r="U96" s="1205"/>
      <c r="V96" s="1229"/>
      <c r="W96" s="1205"/>
      <c r="X96" s="1220"/>
      <c r="AA96" s="1237"/>
      <c r="AB96" s="1230"/>
    </row>
    <row r="97" spans="2:28" x14ac:dyDescent="0.25">
      <c r="B97" s="1236"/>
      <c r="C97" s="1232"/>
      <c r="D97" s="1234"/>
      <c r="E97" s="1234"/>
      <c r="F97" s="1318"/>
      <c r="G97" s="1329"/>
      <c r="H97" s="1226"/>
      <c r="I97" s="1202"/>
      <c r="J97" s="1333"/>
      <c r="K97" s="1310"/>
      <c r="L97" s="1227"/>
      <c r="M97" s="1671"/>
      <c r="N97" s="1228"/>
      <c r="O97" s="1228"/>
      <c r="P97" s="1228"/>
      <c r="Q97" s="1205"/>
      <c r="R97" s="1205"/>
      <c r="S97" s="1205"/>
      <c r="T97" s="1205"/>
      <c r="U97" s="1205"/>
      <c r="V97" s="1229"/>
      <c r="W97" s="1205"/>
      <c r="X97" s="1220"/>
      <c r="AA97" s="1237"/>
      <c r="AB97" s="1230"/>
    </row>
    <row r="98" spans="2:28" x14ac:dyDescent="0.25">
      <c r="C98" s="1232" t="s">
        <v>44</v>
      </c>
      <c r="D98" s="1219" t="s">
        <v>7</v>
      </c>
      <c r="E98" s="1234" t="s">
        <v>1192</v>
      </c>
      <c r="F98" s="1318">
        <v>26</v>
      </c>
      <c r="G98" s="1327" t="s">
        <v>1196</v>
      </c>
      <c r="H98" s="1226"/>
      <c r="I98" s="1202"/>
      <c r="J98" s="1333"/>
      <c r="K98" s="1310"/>
      <c r="L98" s="1227"/>
      <c r="M98" s="1314"/>
      <c r="N98" s="1228"/>
      <c r="O98" s="1228"/>
      <c r="P98" s="1228"/>
      <c r="S98" s="1205"/>
      <c r="AA98" s="1224"/>
      <c r="AB98" s="1230"/>
    </row>
    <row r="99" spans="2:28" x14ac:dyDescent="0.25">
      <c r="B99" s="1217"/>
      <c r="C99" s="1231" t="s">
        <v>46</v>
      </c>
      <c r="D99" s="1219" t="s">
        <v>7</v>
      </c>
      <c r="E99" s="1234" t="s">
        <v>1192</v>
      </c>
      <c r="F99" s="1318">
        <v>14</v>
      </c>
      <c r="G99" s="1327" t="s">
        <v>1196</v>
      </c>
      <c r="H99" s="1226"/>
      <c r="I99" s="1202"/>
      <c r="J99" s="1333"/>
      <c r="K99" s="1310"/>
      <c r="L99" s="1227"/>
      <c r="M99" s="1671"/>
      <c r="N99" s="1228"/>
      <c r="O99" s="1228"/>
      <c r="P99" s="1228"/>
      <c r="Q99" s="1205"/>
      <c r="R99" s="1205"/>
      <c r="S99" s="1205"/>
      <c r="T99" s="1205"/>
      <c r="U99" s="1205"/>
      <c r="V99" s="1229"/>
      <c r="W99" s="1205"/>
      <c r="X99" s="1220"/>
      <c r="AA99" s="1224"/>
      <c r="AB99" s="1230"/>
    </row>
    <row r="100" spans="2:28" x14ac:dyDescent="0.25">
      <c r="B100" s="1217"/>
      <c r="C100" s="1231" t="s">
        <v>47</v>
      </c>
      <c r="D100" s="1219" t="s">
        <v>7</v>
      </c>
      <c r="E100" s="1234" t="s">
        <v>1192</v>
      </c>
      <c r="F100" s="1318">
        <v>14</v>
      </c>
      <c r="G100" s="1327" t="s">
        <v>1196</v>
      </c>
      <c r="H100" s="1226"/>
      <c r="I100" s="1202"/>
      <c r="J100" s="1333"/>
      <c r="K100" s="1310"/>
      <c r="L100" s="1227"/>
      <c r="M100" s="1671"/>
      <c r="N100" s="1228"/>
      <c r="O100" s="1228"/>
      <c r="P100" s="1228"/>
      <c r="Q100" s="1205"/>
      <c r="R100" s="1205"/>
      <c r="S100" s="1205"/>
      <c r="T100" s="1205"/>
      <c r="U100" s="1205"/>
      <c r="V100" s="1229"/>
      <c r="W100" s="1205"/>
      <c r="X100" s="1220"/>
      <c r="AA100" s="1224"/>
      <c r="AB100" s="1230"/>
    </row>
    <row r="101" spans="2:28" x14ac:dyDescent="0.25">
      <c r="B101" s="1217"/>
      <c r="C101" s="122" t="s">
        <v>48</v>
      </c>
      <c r="D101" s="1219" t="s">
        <v>7</v>
      </c>
      <c r="E101" s="1234" t="s">
        <v>1192</v>
      </c>
      <c r="F101" s="1318">
        <v>8</v>
      </c>
      <c r="G101" s="1327" t="s">
        <v>1196</v>
      </c>
      <c r="H101" s="1226"/>
      <c r="I101" s="1202"/>
      <c r="J101" s="1333"/>
      <c r="K101" s="1310"/>
      <c r="L101" s="1227"/>
      <c r="M101" s="1671"/>
      <c r="N101" s="1228"/>
      <c r="O101" s="1228"/>
      <c r="P101" s="1228"/>
      <c r="Q101" s="1205"/>
      <c r="R101" s="1205"/>
      <c r="S101" s="1205"/>
      <c r="T101" s="1205"/>
      <c r="U101" s="1205"/>
      <c r="V101" s="1229"/>
      <c r="W101" s="1205"/>
      <c r="X101" s="1220"/>
      <c r="AA101" s="1224"/>
      <c r="AB101" s="1230"/>
    </row>
    <row r="102" spans="2:28" x14ac:dyDescent="0.25">
      <c r="B102" s="1217"/>
      <c r="C102" s="688" t="s">
        <v>49</v>
      </c>
      <c r="D102" s="1219" t="s">
        <v>7</v>
      </c>
      <c r="E102" s="1234" t="s">
        <v>1192</v>
      </c>
      <c r="F102" s="1318">
        <v>50</v>
      </c>
      <c r="G102" s="1327" t="s">
        <v>1196</v>
      </c>
      <c r="H102" s="1226"/>
      <c r="I102" s="1202"/>
      <c r="J102" s="1333"/>
      <c r="K102" s="1310"/>
      <c r="L102" s="1227"/>
      <c r="M102" s="1671"/>
      <c r="N102" s="1228"/>
      <c r="O102" s="1228"/>
      <c r="P102" s="1228"/>
      <c r="Q102" s="1205"/>
      <c r="R102" s="1205"/>
      <c r="S102" s="1205"/>
      <c r="T102" s="1205"/>
      <c r="U102" s="1205"/>
      <c r="V102" s="1229"/>
      <c r="W102" s="1205"/>
      <c r="X102" s="1220"/>
      <c r="AA102" s="1224"/>
      <c r="AB102" s="1230"/>
    </row>
    <row r="103" spans="2:28" x14ac:dyDescent="0.25">
      <c r="B103" s="1236"/>
      <c r="C103" s="688" t="s">
        <v>50</v>
      </c>
      <c r="D103" s="1219" t="s">
        <v>7</v>
      </c>
      <c r="E103" s="1234" t="s">
        <v>959</v>
      </c>
      <c r="F103" s="1318">
        <v>40</v>
      </c>
      <c r="G103" s="1327" t="s">
        <v>1196</v>
      </c>
      <c r="H103" s="1226"/>
      <c r="I103" s="1202"/>
      <c r="J103" s="1333"/>
      <c r="K103" s="1310"/>
      <c r="L103" s="1227"/>
      <c r="M103" s="1671"/>
      <c r="N103" s="1228"/>
      <c r="O103" s="1228"/>
      <c r="P103" s="1228"/>
      <c r="Q103" s="1205"/>
      <c r="R103" s="1205"/>
      <c r="S103" s="1205"/>
      <c r="T103" s="1205"/>
      <c r="U103" s="1205"/>
      <c r="V103" s="1229"/>
      <c r="W103" s="1205"/>
      <c r="X103" s="1220"/>
      <c r="AA103" s="1237"/>
      <c r="AB103" s="1230"/>
    </row>
    <row r="104" spans="2:28" x14ac:dyDescent="0.25">
      <c r="B104" s="1236"/>
      <c r="C104" s="688" t="s">
        <v>52</v>
      </c>
      <c r="D104" s="1234" t="s">
        <v>51</v>
      </c>
      <c r="E104" s="1234" t="s">
        <v>959</v>
      </c>
      <c r="F104" s="1318">
        <v>35</v>
      </c>
      <c r="G104" s="1327" t="s">
        <v>1196</v>
      </c>
      <c r="H104" s="1226"/>
      <c r="I104" s="1202"/>
      <c r="J104" s="1333"/>
      <c r="K104" s="1310"/>
      <c r="L104" s="1227"/>
      <c r="M104" s="1671"/>
      <c r="N104" s="1228"/>
      <c r="O104" s="1228"/>
      <c r="P104" s="1228"/>
      <c r="Q104" s="1205"/>
      <c r="R104" s="1205"/>
      <c r="S104" s="1205"/>
      <c r="T104" s="1205"/>
      <c r="U104" s="1205"/>
      <c r="V104" s="1229"/>
      <c r="W104" s="1205"/>
      <c r="X104" s="1220"/>
      <c r="AA104" s="1237"/>
      <c r="AB104" s="1230"/>
    </row>
    <row r="105" spans="2:28" x14ac:dyDescent="0.25">
      <c r="B105" s="1236"/>
      <c r="C105" s="688" t="s">
        <v>1074</v>
      </c>
      <c r="D105" s="1234" t="s">
        <v>51</v>
      </c>
      <c r="E105" s="1234" t="s">
        <v>959</v>
      </c>
      <c r="F105" s="1318">
        <v>50</v>
      </c>
      <c r="G105" s="1327" t="s">
        <v>1196</v>
      </c>
      <c r="H105" s="1226"/>
      <c r="I105" s="1202"/>
      <c r="J105" s="1333"/>
      <c r="K105" s="1310"/>
      <c r="L105" s="1227"/>
      <c r="M105" s="1671"/>
      <c r="N105" s="1228"/>
      <c r="O105" s="1228"/>
      <c r="P105" s="1228"/>
      <c r="Q105" s="1205"/>
      <c r="R105" s="1205"/>
      <c r="S105" s="1205"/>
      <c r="T105" s="1205"/>
      <c r="U105" s="1205"/>
      <c r="V105" s="1229"/>
      <c r="W105" s="1205"/>
      <c r="X105" s="1220"/>
      <c r="AA105" s="1237"/>
      <c r="AB105" s="1230"/>
    </row>
    <row r="106" spans="2:28" x14ac:dyDescent="0.25">
      <c r="B106" s="1217"/>
      <c r="C106" s="688" t="s">
        <v>1075</v>
      </c>
      <c r="D106" s="1234" t="s">
        <v>51</v>
      </c>
      <c r="E106" s="1234" t="s">
        <v>959</v>
      </c>
      <c r="F106" s="1318">
        <v>120</v>
      </c>
      <c r="G106" s="1327" t="s">
        <v>1196</v>
      </c>
      <c r="H106" s="1226"/>
      <c r="I106" s="1202"/>
      <c r="J106" s="1333"/>
      <c r="K106" s="1310"/>
      <c r="L106" s="1227"/>
      <c r="M106" s="1671"/>
      <c r="N106" s="1228"/>
      <c r="O106" s="1228"/>
      <c r="P106" s="1228"/>
      <c r="Q106" s="1205"/>
      <c r="R106" s="1205"/>
      <c r="S106" s="1205"/>
      <c r="T106" s="1205"/>
      <c r="U106" s="1205"/>
      <c r="V106" s="1229"/>
      <c r="W106" s="1205"/>
      <c r="X106" s="1220"/>
      <c r="AA106" s="1224"/>
      <c r="AB106" s="1230"/>
    </row>
    <row r="107" spans="2:28" x14ac:dyDescent="0.25">
      <c r="B107" s="1217"/>
      <c r="C107" s="1235" t="s">
        <v>1076</v>
      </c>
      <c r="D107" s="1234" t="s">
        <v>51</v>
      </c>
      <c r="E107" s="1234" t="s">
        <v>959</v>
      </c>
      <c r="F107" s="1318">
        <v>15</v>
      </c>
      <c r="G107" s="1327" t="s">
        <v>1196</v>
      </c>
      <c r="H107" s="1226"/>
      <c r="I107" s="1202"/>
      <c r="J107" s="1333"/>
      <c r="K107" s="1312"/>
      <c r="L107" s="1227"/>
      <c r="M107" s="1314"/>
      <c r="N107" s="1228"/>
      <c r="O107" s="1228"/>
      <c r="P107" s="1228"/>
      <c r="Q107" s="1205"/>
      <c r="R107" s="1205"/>
      <c r="S107" s="1205"/>
      <c r="T107" s="1205"/>
      <c r="U107" s="1205"/>
      <c r="V107" s="1229"/>
      <c r="W107" s="1205"/>
      <c r="X107" s="1220"/>
      <c r="AA107" s="1224"/>
      <c r="AB107" s="1230"/>
    </row>
    <row r="108" spans="2:28" x14ac:dyDescent="0.25">
      <c r="B108" s="1217"/>
      <c r="C108" s="1235"/>
      <c r="D108" s="1234"/>
      <c r="E108" s="1234"/>
      <c r="F108" s="1318"/>
      <c r="G108" s="1327"/>
      <c r="H108" s="1226"/>
      <c r="I108" s="1202"/>
      <c r="J108" s="1333"/>
      <c r="K108" s="1312"/>
      <c r="L108" s="1227"/>
      <c r="M108" s="1314"/>
      <c r="N108" s="1228"/>
      <c r="O108" s="1228"/>
      <c r="P108" s="1228"/>
      <c r="Q108" s="1205"/>
      <c r="R108" s="1205"/>
      <c r="S108" s="1205"/>
      <c r="T108" s="1205"/>
      <c r="U108" s="1205"/>
      <c r="V108" s="1229"/>
      <c r="W108" s="1205"/>
      <c r="X108" s="1220"/>
      <c r="AA108" s="1224"/>
      <c r="AB108" s="1230"/>
    </row>
    <row r="109" spans="2:28" x14ac:dyDescent="0.25">
      <c r="B109" s="1217"/>
      <c r="C109" s="688" t="s">
        <v>53</v>
      </c>
      <c r="D109" s="1219" t="s">
        <v>45</v>
      </c>
      <c r="E109" s="1234" t="s">
        <v>136</v>
      </c>
      <c r="F109" s="1318">
        <v>55</v>
      </c>
      <c r="G109" s="1327" t="s">
        <v>1196</v>
      </c>
      <c r="H109" s="1226"/>
      <c r="I109" s="1202"/>
      <c r="J109" s="1333"/>
      <c r="K109" s="1310"/>
      <c r="L109" s="1227"/>
      <c r="M109" s="1671"/>
      <c r="N109" s="1228"/>
      <c r="O109" s="1228"/>
      <c r="P109" s="1228"/>
      <c r="Q109" s="1205"/>
      <c r="R109" s="1205"/>
      <c r="S109" s="1205"/>
      <c r="T109" s="1205"/>
      <c r="U109" s="1205"/>
      <c r="V109" s="1229"/>
      <c r="W109" s="1205"/>
      <c r="X109" s="1220"/>
      <c r="AA109" s="1230"/>
      <c r="AB109" s="1230"/>
    </row>
    <row r="110" spans="2:28" x14ac:dyDescent="0.25">
      <c r="B110" s="1217"/>
      <c r="C110" s="688" t="s">
        <v>54</v>
      </c>
      <c r="D110" s="1219" t="s">
        <v>45</v>
      </c>
      <c r="E110" s="1234" t="s">
        <v>136</v>
      </c>
      <c r="F110" s="1318">
        <v>55</v>
      </c>
      <c r="G110" s="1327" t="s">
        <v>1196</v>
      </c>
      <c r="H110" s="1226"/>
      <c r="I110" s="1202"/>
      <c r="J110" s="1333"/>
      <c r="K110" s="1310"/>
      <c r="L110" s="1227"/>
      <c r="M110" s="1671"/>
      <c r="N110" s="1228"/>
      <c r="O110" s="1228"/>
      <c r="P110" s="1228"/>
      <c r="Q110" s="1205"/>
      <c r="R110" s="1205"/>
      <c r="S110" s="1205"/>
      <c r="T110" s="1205"/>
      <c r="U110" s="1205"/>
      <c r="V110" s="1229"/>
      <c r="W110" s="1205"/>
      <c r="X110" s="1220"/>
      <c r="AA110" s="1230"/>
      <c r="AB110" s="1230"/>
    </row>
    <row r="111" spans="2:28" x14ac:dyDescent="0.25">
      <c r="B111" s="1217"/>
      <c r="C111" s="1232" t="s">
        <v>55</v>
      </c>
      <c r="D111" s="1219" t="s">
        <v>45</v>
      </c>
      <c r="E111" s="1234" t="s">
        <v>136</v>
      </c>
      <c r="F111" s="1318">
        <v>50</v>
      </c>
      <c r="G111" s="1327" t="s">
        <v>1196</v>
      </c>
      <c r="H111" s="1226"/>
      <c r="I111" s="1202"/>
      <c r="J111" s="1333"/>
      <c r="K111" s="1310"/>
      <c r="L111" s="1227"/>
      <c r="M111" s="1671"/>
      <c r="N111" s="1228"/>
      <c r="O111" s="1228"/>
      <c r="P111" s="1228"/>
      <c r="Q111" s="1205"/>
      <c r="R111" s="1205"/>
      <c r="S111" s="1205"/>
      <c r="T111" s="1205"/>
      <c r="U111" s="1205"/>
      <c r="V111" s="1229"/>
      <c r="W111" s="1205"/>
      <c r="X111" s="1220"/>
      <c r="AA111" s="1230"/>
      <c r="AB111" s="1230"/>
    </row>
    <row r="112" spans="2:28" x14ac:dyDescent="0.25">
      <c r="B112" s="1217"/>
      <c r="C112" s="1232" t="s">
        <v>56</v>
      </c>
      <c r="D112" s="1219" t="s">
        <v>45</v>
      </c>
      <c r="E112" s="1234" t="s">
        <v>136</v>
      </c>
      <c r="F112" s="1318">
        <v>50</v>
      </c>
      <c r="G112" s="1327" t="s">
        <v>1196</v>
      </c>
      <c r="H112" s="1226"/>
      <c r="I112" s="1202"/>
      <c r="J112" s="1333"/>
      <c r="K112" s="1310"/>
      <c r="L112" s="1227"/>
      <c r="M112" s="1671"/>
      <c r="N112" s="1228"/>
      <c r="O112" s="1228"/>
      <c r="P112" s="1228"/>
      <c r="Q112" s="1205"/>
      <c r="R112" s="1205"/>
      <c r="T112" s="1205"/>
      <c r="U112" s="1205"/>
      <c r="V112" s="1229"/>
      <c r="W112" s="1205"/>
      <c r="X112" s="1220"/>
      <c r="AA112" s="1230"/>
      <c r="AB112" s="1230"/>
    </row>
    <row r="113" spans="2:28" s="1503" customFormat="1" x14ac:dyDescent="0.25">
      <c r="B113" s="1217"/>
      <c r="C113" s="1232" t="s">
        <v>1239</v>
      </c>
      <c r="D113" s="1219" t="s">
        <v>45</v>
      </c>
      <c r="E113" s="1234" t="s">
        <v>136</v>
      </c>
      <c r="F113" s="1318">
        <v>55</v>
      </c>
      <c r="G113" s="1327" t="s">
        <v>1196</v>
      </c>
      <c r="H113" s="1226"/>
      <c r="J113" s="1333"/>
      <c r="K113" s="1310"/>
      <c r="L113" s="1227"/>
      <c r="M113" s="1671"/>
      <c r="N113" s="1228"/>
      <c r="O113" s="1228"/>
      <c r="P113" s="1228"/>
      <c r="Q113" s="1205"/>
      <c r="R113" s="1205"/>
      <c r="T113" s="1205"/>
      <c r="U113" s="1205"/>
      <c r="V113" s="1229"/>
      <c r="W113" s="1205"/>
      <c r="X113" s="1220"/>
      <c r="AA113" s="1230"/>
      <c r="AB113" s="1230"/>
    </row>
    <row r="114" spans="2:28" x14ac:dyDescent="0.25">
      <c r="C114" s="1232" t="s">
        <v>57</v>
      </c>
      <c r="D114" s="1219" t="s">
        <v>45</v>
      </c>
      <c r="E114" s="1234" t="s">
        <v>136</v>
      </c>
      <c r="F114" s="1318">
        <v>50</v>
      </c>
      <c r="G114" s="1327" t="s">
        <v>1196</v>
      </c>
      <c r="I114" s="1202"/>
      <c r="J114" s="1333"/>
      <c r="K114" s="1313"/>
      <c r="L114" s="1227"/>
      <c r="AA114" s="1224"/>
      <c r="AB114" s="1224"/>
    </row>
    <row r="115" spans="2:28" x14ac:dyDescent="0.25">
      <c r="C115" s="1232" t="s">
        <v>58</v>
      </c>
      <c r="D115" s="1219" t="s">
        <v>45</v>
      </c>
      <c r="E115" s="1234" t="s">
        <v>136</v>
      </c>
      <c r="F115" s="1318">
        <v>55</v>
      </c>
      <c r="G115" s="1327" t="s">
        <v>1196</v>
      </c>
      <c r="I115" s="1202"/>
      <c r="J115" s="1333"/>
      <c r="K115" s="1313"/>
      <c r="AA115" s="1224"/>
      <c r="AB115" s="1224"/>
    </row>
    <row r="116" spans="2:28" x14ac:dyDescent="0.25">
      <c r="C116" s="1232" t="s">
        <v>59</v>
      </c>
      <c r="D116" s="1219" t="s">
        <v>45</v>
      </c>
      <c r="E116" s="1234" t="s">
        <v>136</v>
      </c>
      <c r="F116" s="1318">
        <v>48</v>
      </c>
      <c r="G116" s="1327" t="s">
        <v>1196</v>
      </c>
      <c r="I116" s="1202"/>
      <c r="J116" s="1333"/>
      <c r="K116" s="1313"/>
      <c r="AA116" s="1224"/>
      <c r="AB116" s="1224"/>
    </row>
    <row r="117" spans="2:28" x14ac:dyDescent="0.25">
      <c r="C117" s="1232" t="s">
        <v>60</v>
      </c>
      <c r="D117" s="1219" t="s">
        <v>45</v>
      </c>
      <c r="E117" s="1234" t="s">
        <v>136</v>
      </c>
      <c r="F117" s="1318">
        <v>35</v>
      </c>
      <c r="G117" s="1327" t="s">
        <v>1196</v>
      </c>
      <c r="I117" s="1202"/>
      <c r="J117" s="1333"/>
      <c r="K117" s="1313"/>
      <c r="AA117" s="1224"/>
      <c r="AB117" s="1224"/>
    </row>
    <row r="118" spans="2:28" x14ac:dyDescent="0.25">
      <c r="C118" s="1232"/>
      <c r="G118" s="1330"/>
      <c r="I118" s="1202"/>
      <c r="J118" s="1336"/>
      <c r="K118" s="1314"/>
      <c r="AA118" s="1224"/>
      <c r="AB118" s="1224"/>
    </row>
    <row r="119" spans="2:28" x14ac:dyDescent="0.25">
      <c r="F119" s="1239"/>
      <c r="G119" s="1330"/>
      <c r="I119" s="1202"/>
      <c r="J119" s="1336"/>
      <c r="K119" s="1314"/>
      <c r="AA119" s="1224"/>
      <c r="AB119" s="1224"/>
    </row>
    <row r="120" spans="2:28" x14ac:dyDescent="0.25">
      <c r="F120" s="1239"/>
      <c r="G120" s="1330"/>
      <c r="I120" s="1202"/>
      <c r="J120" s="1336"/>
      <c r="K120" s="1314"/>
      <c r="AA120" s="1224"/>
      <c r="AB120" s="1224"/>
    </row>
    <row r="121" spans="2:28" x14ac:dyDescent="0.25">
      <c r="F121" s="1239"/>
      <c r="G121" s="1330"/>
      <c r="I121" s="1202"/>
      <c r="J121" s="1336"/>
      <c r="K121" s="1314"/>
    </row>
    <row r="122" spans="2:28" x14ac:dyDescent="0.25">
      <c r="F122" s="1239"/>
      <c r="G122" s="1330"/>
      <c r="I122" s="1202"/>
      <c r="J122" s="1336"/>
      <c r="K122" s="1314"/>
    </row>
    <row r="123" spans="2:28" x14ac:dyDescent="0.25">
      <c r="G123" s="1330"/>
      <c r="I123" s="1202"/>
      <c r="J123" s="1336"/>
      <c r="K123" s="1314"/>
    </row>
    <row r="124" spans="2:28" x14ac:dyDescent="0.25">
      <c r="G124" s="1330"/>
      <c r="I124" s="1202"/>
      <c r="J124" s="1336"/>
      <c r="K124" s="1314"/>
    </row>
    <row r="125" spans="2:28" x14ac:dyDescent="0.25">
      <c r="G125" s="1330"/>
      <c r="I125" s="1202"/>
      <c r="J125" s="1336"/>
      <c r="K125" s="1314"/>
    </row>
    <row r="126" spans="2:28" x14ac:dyDescent="0.25">
      <c r="I126" s="1330"/>
      <c r="J126" s="1336"/>
      <c r="K126" s="1314"/>
    </row>
    <row r="127" spans="2:28" x14ac:dyDescent="0.25">
      <c r="C127" s="1238" t="s">
        <v>61</v>
      </c>
      <c r="I127" s="1330"/>
      <c r="J127" s="1336"/>
      <c r="K127" s="1314"/>
    </row>
    <row r="128" spans="2:28" x14ac:dyDescent="0.25">
      <c r="C128" s="1238" t="s">
        <v>62</v>
      </c>
      <c r="I128" s="1330"/>
      <c r="J128" s="1336"/>
      <c r="K128" s="1314"/>
    </row>
    <row r="129" spans="9:11" x14ac:dyDescent="0.25">
      <c r="I129" s="1330"/>
      <c r="J129" s="1336"/>
      <c r="K129" s="1314"/>
    </row>
    <row r="130" spans="9:11" x14ac:dyDescent="0.25">
      <c r="I130" s="1330"/>
      <c r="J130" s="1336"/>
      <c r="K130" s="1314"/>
    </row>
    <row r="131" spans="9:11" x14ac:dyDescent="0.25">
      <c r="I131" s="1330"/>
      <c r="J131" s="1336"/>
      <c r="K131" s="1314"/>
    </row>
    <row r="132" spans="9:11" x14ac:dyDescent="0.25">
      <c r="I132" s="1330"/>
      <c r="J132" s="1336"/>
      <c r="K132" s="1314"/>
    </row>
    <row r="133" spans="9:11" x14ac:dyDescent="0.25">
      <c r="I133" s="1330"/>
      <c r="J133" s="1336"/>
      <c r="K133" s="1314"/>
    </row>
    <row r="134" spans="9:11" x14ac:dyDescent="0.25">
      <c r="I134" s="1330"/>
      <c r="J134" s="1336"/>
      <c r="K134" s="1314"/>
    </row>
    <row r="135" spans="9:11" x14ac:dyDescent="0.25">
      <c r="I135" s="1330"/>
      <c r="J135" s="1336"/>
      <c r="K135" s="1314"/>
    </row>
    <row r="136" spans="9:11" x14ac:dyDescent="0.25">
      <c r="I136" s="1330"/>
      <c r="J136" s="1336"/>
      <c r="K136" s="1314"/>
    </row>
    <row r="137" spans="9:11" x14ac:dyDescent="0.25">
      <c r="I137" s="1330"/>
      <c r="J137" s="1336"/>
      <c r="K137" s="1314"/>
    </row>
    <row r="138" spans="9:11" x14ac:dyDescent="0.25">
      <c r="I138" s="1330"/>
      <c r="J138" s="1336"/>
      <c r="K138" s="1314"/>
    </row>
  </sheetData>
  <mergeCells count="3">
    <mergeCell ref="E3:E4"/>
    <mergeCell ref="F3:F4"/>
    <mergeCell ref="G3:G4"/>
  </mergeCells>
  <printOptions horizontalCentered="1"/>
  <pageMargins left="0.55118110236220474" right="0.55118110236220474" top="0.98425196850393704" bottom="0.98425196850393704" header="0" footer="0"/>
  <pageSetup paperSize="9"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pageSetUpPr fitToPage="1"/>
  </sheetPr>
  <dimension ref="A1:M57"/>
  <sheetViews>
    <sheetView showGridLines="0" zoomScalePageLayoutView="25" workbookViewId="0">
      <selection activeCell="C8" sqref="C8"/>
    </sheetView>
  </sheetViews>
  <sheetFormatPr baseColWidth="10" defaultColWidth="11.44140625" defaultRowHeight="13.2" x14ac:dyDescent="0.25"/>
  <cols>
    <col min="1" max="1" width="5.6640625" style="261" customWidth="1"/>
    <col min="2" max="2" width="40.6640625" style="261" customWidth="1"/>
    <col min="3" max="3" width="6.6640625" style="261" customWidth="1"/>
    <col min="4" max="4" width="9.6640625" style="261" customWidth="1"/>
    <col min="5" max="5" width="9.44140625" style="261" customWidth="1"/>
    <col min="6" max="6" width="9.6640625" style="261" bestFit="1" customWidth="1"/>
    <col min="7" max="7" width="8.6640625" style="261" customWidth="1"/>
    <col min="8" max="8" width="12" style="261" customWidth="1"/>
    <col min="9" max="9" width="10.88671875" style="261" customWidth="1"/>
    <col min="10" max="10" width="8" style="261" customWidth="1"/>
    <col min="11" max="11" width="7.88671875" style="261" customWidth="1"/>
    <col min="12" max="12" width="8.6640625" style="261" customWidth="1"/>
    <col min="13" max="13" width="7.6640625" style="261" bestFit="1" customWidth="1"/>
    <col min="14" max="16" width="11.44140625" style="261" customWidth="1"/>
    <col min="17" max="16384" width="11.44140625" style="261"/>
  </cols>
  <sheetData>
    <row r="1" spans="1:13" ht="12.75" customHeight="1" x14ac:dyDescent="0.25">
      <c r="A1" s="688"/>
      <c r="B1" s="1679" t="s">
        <v>63</v>
      </c>
      <c r="C1" s="1680"/>
      <c r="D1" s="1680"/>
      <c r="E1" s="1680"/>
      <c r="F1" s="1680"/>
      <c r="G1" s="1680"/>
      <c r="H1" s="1680"/>
      <c r="I1" s="1680"/>
      <c r="J1" s="1680"/>
      <c r="K1" s="1680"/>
      <c r="L1" s="1681"/>
    </row>
    <row r="2" spans="1:13" ht="12.75" customHeight="1" thickBot="1" x14ac:dyDescent="0.3">
      <c r="B2" s="1682"/>
      <c r="C2" s="1683"/>
      <c r="D2" s="1683"/>
      <c r="E2" s="1683"/>
      <c r="F2" s="1683"/>
      <c r="G2" s="1683"/>
      <c r="H2" s="1683"/>
      <c r="I2" s="1683"/>
      <c r="J2" s="1683"/>
      <c r="K2" s="1683"/>
      <c r="L2" s="1684"/>
    </row>
    <row r="3" spans="1:13" ht="12.75" customHeight="1" x14ac:dyDescent="0.25">
      <c r="B3" s="114"/>
      <c r="C3" s="114"/>
      <c r="D3" s="114"/>
      <c r="E3" s="114"/>
      <c r="F3" s="114"/>
      <c r="G3" s="114"/>
      <c r="H3" s="114"/>
      <c r="I3" s="114"/>
    </row>
    <row r="4" spans="1:13" ht="12.75" customHeight="1" x14ac:dyDescent="0.25">
      <c r="B4" s="114"/>
      <c r="C4" s="114"/>
      <c r="D4" s="114"/>
      <c r="E4" s="114"/>
      <c r="F4" s="114"/>
      <c r="G4" s="114"/>
      <c r="H4" s="114"/>
      <c r="I4" s="114"/>
    </row>
    <row r="5" spans="1:13" ht="13.95" customHeight="1" x14ac:dyDescent="0.25">
      <c r="B5" s="123" t="s">
        <v>64</v>
      </c>
      <c r="C5" s="124" t="e">
        <f>+Valores!#REF!</f>
        <v>#REF!</v>
      </c>
      <c r="D5" s="124">
        <f>+RESUMEN!G4</f>
        <v>31500</v>
      </c>
      <c r="E5" s="125" t="s">
        <v>65</v>
      </c>
      <c r="F5" s="126" t="e">
        <f>+D5/C5-1</f>
        <v>#REF!</v>
      </c>
      <c r="H5" s="1692" t="s">
        <v>66</v>
      </c>
      <c r="I5" s="1693"/>
      <c r="J5" s="127">
        <f>+RESUMEN!Q15</f>
        <v>1500</v>
      </c>
      <c r="K5" s="128" t="s">
        <v>67</v>
      </c>
      <c r="L5" s="129"/>
    </row>
    <row r="6" spans="1:13" ht="13.95" customHeight="1" thickBot="1" x14ac:dyDescent="0.3"/>
    <row r="7" spans="1:13" ht="17.399999999999999" customHeight="1" thickBot="1" x14ac:dyDescent="0.3">
      <c r="B7" s="1685" t="s">
        <v>68</v>
      </c>
      <c r="C7" s="1686"/>
      <c r="D7" s="1687"/>
      <c r="H7" s="1694" t="s">
        <v>69</v>
      </c>
      <c r="I7" s="1695"/>
      <c r="J7" s="130" t="e">
        <f>+Valores!#REF!</f>
        <v>#REF!</v>
      </c>
      <c r="K7" s="131" t="s">
        <v>67</v>
      </c>
      <c r="L7" s="132"/>
    </row>
    <row r="8" spans="1:13" x14ac:dyDescent="0.25">
      <c r="B8" s="187" t="s">
        <v>70</v>
      </c>
      <c r="C8" s="133" t="e">
        <f>+Valores!#REF!</f>
        <v>#REF!</v>
      </c>
      <c r="D8" s="133" t="e">
        <f>+Valores!#REF!</f>
        <v>#REF!</v>
      </c>
      <c r="E8" s="134" t="s">
        <v>65</v>
      </c>
      <c r="F8" s="135" t="e">
        <f>+D8/C8-1</f>
        <v>#REF!</v>
      </c>
    </row>
    <row r="9" spans="1:13" x14ac:dyDescent="0.25">
      <c r="B9" s="187" t="s">
        <v>71</v>
      </c>
      <c r="C9" s="136">
        <v>0.03</v>
      </c>
      <c r="D9" s="136">
        <v>0.03</v>
      </c>
      <c r="E9" s="232" t="s">
        <v>72</v>
      </c>
    </row>
    <row r="10" spans="1:13" x14ac:dyDescent="0.25">
      <c r="B10" s="137" t="s">
        <v>73</v>
      </c>
      <c r="C10" s="138" t="e">
        <f>+C5*(1-C9)-C8</f>
        <v>#REF!</v>
      </c>
      <c r="D10" s="138" t="e">
        <f>+D5*(1-D9)-D8</f>
        <v>#REF!</v>
      </c>
      <c r="E10" s="134" t="s">
        <v>65</v>
      </c>
      <c r="F10" s="139" t="e">
        <f>+D10/C10-1</f>
        <v>#REF!</v>
      </c>
    </row>
    <row r="12" spans="1:13" ht="13.95" customHeight="1" thickBot="1" x14ac:dyDescent="0.3"/>
    <row r="13" spans="1:13" ht="17.399999999999999" customHeight="1" thickBot="1" x14ac:dyDescent="0.3">
      <c r="B13" s="53" t="s">
        <v>74</v>
      </c>
      <c r="C13" s="703"/>
      <c r="D13" s="704"/>
      <c r="E13" s="140" t="s">
        <v>75</v>
      </c>
      <c r="F13" s="141" t="s">
        <v>75</v>
      </c>
      <c r="G13" s="142"/>
      <c r="H13" s="143" t="s">
        <v>76</v>
      </c>
      <c r="I13" s="144" t="s">
        <v>76</v>
      </c>
      <c r="J13" s="142"/>
      <c r="K13" s="145" t="s">
        <v>77</v>
      </c>
      <c r="L13" s="146" t="s">
        <v>77</v>
      </c>
    </row>
    <row r="14" spans="1:13" ht="14.4" customHeight="1" thickBot="1" x14ac:dyDescent="0.3">
      <c r="B14" s="147" t="s">
        <v>78</v>
      </c>
      <c r="C14" s="1689" t="s">
        <v>79</v>
      </c>
      <c r="D14" s="1681"/>
      <c r="E14" s="148" t="s">
        <v>80</v>
      </c>
      <c r="F14" s="149" t="s">
        <v>81</v>
      </c>
      <c r="G14" s="150" t="s">
        <v>82</v>
      </c>
      <c r="H14" s="151" t="s">
        <v>81</v>
      </c>
      <c r="I14" s="152" t="s">
        <v>83</v>
      </c>
      <c r="J14" s="153" t="s">
        <v>72</v>
      </c>
      <c r="K14" s="154" t="s">
        <v>81</v>
      </c>
      <c r="L14" s="155" t="s">
        <v>83</v>
      </c>
      <c r="M14" s="156" t="s">
        <v>72</v>
      </c>
    </row>
    <row r="15" spans="1:13" x14ac:dyDescent="0.25">
      <c r="B15" s="157" t="s">
        <v>84</v>
      </c>
      <c r="C15" s="720">
        <f>+TRIGO!C15</f>
        <v>1</v>
      </c>
      <c r="D15" s="158" t="s">
        <v>85</v>
      </c>
      <c r="E15" s="159" t="e">
        <f>+Valores!#REF!</f>
        <v>#REF!</v>
      </c>
      <c r="F15" s="160">
        <f>+Valores!F17</f>
        <v>45</v>
      </c>
      <c r="G15" s="161" t="s">
        <v>86</v>
      </c>
      <c r="H15" s="721" t="e">
        <f>C15*E15*$J$7</f>
        <v>#REF!</v>
      </c>
      <c r="I15" s="722">
        <f>C15*F15*$J$5</f>
        <v>67500</v>
      </c>
      <c r="J15" s="164" t="e">
        <f t="shared" ref="J15:J21" si="0">+I15/H15-1</f>
        <v>#REF!</v>
      </c>
      <c r="K15" s="162" t="e">
        <f t="shared" ref="K15:K21" si="1">H15/$C$10</f>
        <v>#REF!</v>
      </c>
      <c r="L15" s="163" t="e">
        <f t="shared" ref="L15:L21" si="2">I15/$D$10</f>
        <v>#REF!</v>
      </c>
      <c r="M15" s="164" t="e">
        <f t="shared" ref="M15:M21" si="3">+L15/K15-1</f>
        <v>#REF!</v>
      </c>
    </row>
    <row r="16" spans="1:13" x14ac:dyDescent="0.25">
      <c r="B16" s="165" t="s">
        <v>87</v>
      </c>
      <c r="C16" s="723">
        <f>+TRIGO!C17</f>
        <v>2.2000000000000002</v>
      </c>
      <c r="D16" s="695" t="s">
        <v>85</v>
      </c>
      <c r="E16" s="166" t="e">
        <f>+Valores!#REF!</f>
        <v>#REF!</v>
      </c>
      <c r="F16" s="167">
        <f>+Valores!F65</f>
        <v>4.3</v>
      </c>
      <c r="G16" s="168" t="s">
        <v>86</v>
      </c>
      <c r="H16" s="724" t="e">
        <f>C16*E16*J7</f>
        <v>#REF!</v>
      </c>
      <c r="I16" s="725">
        <f>C16*F16*J5</f>
        <v>14190.000000000002</v>
      </c>
      <c r="J16" s="171" t="e">
        <f t="shared" si="0"/>
        <v>#REF!</v>
      </c>
      <c r="K16" s="169" t="e">
        <f t="shared" si="1"/>
        <v>#REF!</v>
      </c>
      <c r="L16" s="170" t="e">
        <f t="shared" si="2"/>
        <v>#REF!</v>
      </c>
      <c r="M16" s="171" t="e">
        <f t="shared" si="3"/>
        <v>#REF!</v>
      </c>
    </row>
    <row r="17" spans="2:13" x14ac:dyDescent="0.25">
      <c r="B17" s="165" t="s">
        <v>35</v>
      </c>
      <c r="C17" s="723">
        <f>+TRIGO!C18</f>
        <v>15</v>
      </c>
      <c r="D17" s="695" t="s">
        <v>88</v>
      </c>
      <c r="E17" s="166" t="e">
        <f>+Valores!#REF!</f>
        <v>#REF!</v>
      </c>
      <c r="F17" s="167">
        <f>+Valores!F56</f>
        <v>36.6</v>
      </c>
      <c r="G17" s="168" t="s">
        <v>89</v>
      </c>
      <c r="H17" s="724" t="e">
        <f>C17*(E17/1000)*J7</f>
        <v>#REF!</v>
      </c>
      <c r="I17" s="725">
        <f>C17*(F17/1000)*J5</f>
        <v>823.50000000000011</v>
      </c>
      <c r="J17" s="171" t="e">
        <f t="shared" si="0"/>
        <v>#REF!</v>
      </c>
      <c r="K17" s="169" t="e">
        <f t="shared" si="1"/>
        <v>#REF!</v>
      </c>
      <c r="L17" s="170" t="e">
        <f t="shared" si="2"/>
        <v>#REF!</v>
      </c>
      <c r="M17" s="171" t="e">
        <f t="shared" si="3"/>
        <v>#REF!</v>
      </c>
    </row>
    <row r="18" spans="2:13" x14ac:dyDescent="0.25">
      <c r="B18" s="165" t="s">
        <v>90</v>
      </c>
      <c r="C18" s="726">
        <f>+TRIGO!C19</f>
        <v>1</v>
      </c>
      <c r="D18" s="695" t="s">
        <v>85</v>
      </c>
      <c r="E18" s="166" t="e">
        <f>+Valores!#REF!</f>
        <v>#REF!</v>
      </c>
      <c r="F18" s="167">
        <f>+Valores!F71</f>
        <v>7.2</v>
      </c>
      <c r="G18" s="168"/>
      <c r="H18" s="724" t="e">
        <f>C18*E18*$J$7</f>
        <v>#REF!</v>
      </c>
      <c r="I18" s="725">
        <f>C18*F18*$J$5</f>
        <v>10800</v>
      </c>
      <c r="J18" s="171" t="e">
        <f t="shared" si="0"/>
        <v>#REF!</v>
      </c>
      <c r="K18" s="169" t="e">
        <f t="shared" si="1"/>
        <v>#REF!</v>
      </c>
      <c r="L18" s="170" t="e">
        <f t="shared" si="2"/>
        <v>#REF!</v>
      </c>
      <c r="M18" s="171" t="e">
        <f t="shared" si="3"/>
        <v>#REF!</v>
      </c>
    </row>
    <row r="19" spans="2:13" x14ac:dyDescent="0.25">
      <c r="B19" s="165" t="s">
        <v>8</v>
      </c>
      <c r="C19" s="727" t="e">
        <f>+TRIGO!#REF!</f>
        <v>#REF!</v>
      </c>
      <c r="D19" s="695" t="s">
        <v>91</v>
      </c>
      <c r="E19" s="166" t="e">
        <f>+Valores!#REF!</f>
        <v>#REF!</v>
      </c>
      <c r="F19" s="167" t="e">
        <f>+Valores!#REF!</f>
        <v>#REF!</v>
      </c>
      <c r="G19" s="168" t="s">
        <v>86</v>
      </c>
      <c r="H19" s="724" t="e">
        <f>C19*(E19)*J7</f>
        <v>#REF!</v>
      </c>
      <c r="I19" s="725" t="e">
        <f>C19*(F19)*J5</f>
        <v>#REF!</v>
      </c>
      <c r="J19" s="171" t="e">
        <f t="shared" si="0"/>
        <v>#REF!</v>
      </c>
      <c r="K19" s="169" t="e">
        <f t="shared" si="1"/>
        <v>#REF!</v>
      </c>
      <c r="L19" s="170" t="e">
        <f t="shared" si="2"/>
        <v>#REF!</v>
      </c>
      <c r="M19" s="171" t="e">
        <f t="shared" si="3"/>
        <v>#REF!</v>
      </c>
    </row>
    <row r="20" spans="2:13" x14ac:dyDescent="0.25">
      <c r="B20" s="165" t="s">
        <v>92</v>
      </c>
      <c r="C20" s="727">
        <f>+TRIGO!C21</f>
        <v>0.3</v>
      </c>
      <c r="D20" s="695" t="s">
        <v>91</v>
      </c>
      <c r="E20" s="166" t="e">
        <f>+Valores!#REF!</f>
        <v>#REF!</v>
      </c>
      <c r="F20" s="167">
        <f>+Valores!F42</f>
        <v>29.5</v>
      </c>
      <c r="G20" s="168" t="s">
        <v>86</v>
      </c>
      <c r="H20" s="724" t="e">
        <f>C20*(E20)*J7</f>
        <v>#REF!</v>
      </c>
      <c r="I20" s="725">
        <f>C20*(F20)*J5</f>
        <v>13275</v>
      </c>
      <c r="J20" s="171" t="e">
        <f t="shared" si="0"/>
        <v>#REF!</v>
      </c>
      <c r="K20" s="169" t="e">
        <f t="shared" si="1"/>
        <v>#REF!</v>
      </c>
      <c r="L20" s="170" t="e">
        <f t="shared" si="2"/>
        <v>#REF!</v>
      </c>
      <c r="M20" s="171" t="e">
        <f t="shared" si="3"/>
        <v>#REF!</v>
      </c>
    </row>
    <row r="21" spans="2:13" x14ac:dyDescent="0.25">
      <c r="B21" s="165" t="s">
        <v>93</v>
      </c>
      <c r="C21" s="728">
        <f>+TRIGO!C22</f>
        <v>0.6</v>
      </c>
      <c r="D21" s="695" t="s">
        <v>85</v>
      </c>
      <c r="E21" s="166" t="e">
        <f>+Valores!#REF!</f>
        <v>#REF!</v>
      </c>
      <c r="F21" s="167">
        <f>+Valores!F26</f>
        <v>12.8</v>
      </c>
      <c r="G21" s="168" t="s">
        <v>86</v>
      </c>
      <c r="H21" s="724" t="e">
        <f>C21*(E21)*J7</f>
        <v>#REF!</v>
      </c>
      <c r="I21" s="725">
        <f>C21*(F21)*J5</f>
        <v>11520</v>
      </c>
      <c r="J21" s="171" t="e">
        <f t="shared" si="0"/>
        <v>#REF!</v>
      </c>
      <c r="K21" s="169" t="e">
        <f t="shared" si="1"/>
        <v>#REF!</v>
      </c>
      <c r="L21" s="170" t="e">
        <f t="shared" si="2"/>
        <v>#REF!</v>
      </c>
      <c r="M21" s="171" t="e">
        <f t="shared" si="3"/>
        <v>#REF!</v>
      </c>
    </row>
    <row r="22" spans="2:13" ht="14.4" customHeight="1" thickBot="1" x14ac:dyDescent="0.3">
      <c r="B22" s="172" t="s">
        <v>94</v>
      </c>
      <c r="C22" s="173"/>
      <c r="D22" s="174"/>
      <c r="E22" s="175" t="e">
        <f>+H22/$J$7</f>
        <v>#REF!</v>
      </c>
      <c r="F22" s="176" t="e">
        <f>+I22/$J$5</f>
        <v>#REF!</v>
      </c>
      <c r="G22" s="177" t="s">
        <v>95</v>
      </c>
      <c r="H22" s="729" t="e">
        <f>SUM(H15:H21)</f>
        <v>#REF!</v>
      </c>
      <c r="I22" s="730" t="e">
        <f>SUM(I15:I21)</f>
        <v>#REF!</v>
      </c>
      <c r="J22" s="180" t="s">
        <v>96</v>
      </c>
      <c r="K22" s="178" t="e">
        <f>SUM(K15:K21)</f>
        <v>#REF!</v>
      </c>
      <c r="L22" s="179" t="e">
        <f>SUM(L15:L21)</f>
        <v>#REF!</v>
      </c>
      <c r="M22" s="180" t="s">
        <v>77</v>
      </c>
    </row>
    <row r="23" spans="2:13" x14ac:dyDescent="0.25">
      <c r="B23" s="181"/>
      <c r="C23" s="731"/>
      <c r="D23" s="182"/>
      <c r="E23" s="732"/>
      <c r="F23" s="733"/>
      <c r="G23" s="183"/>
      <c r="H23" s="734"/>
      <c r="I23" s="735"/>
      <c r="J23" s="186"/>
      <c r="K23" s="184"/>
      <c r="L23" s="185"/>
      <c r="M23" s="186"/>
    </row>
    <row r="24" spans="2:13" x14ac:dyDescent="0.25">
      <c r="B24" s="165" t="s">
        <v>97</v>
      </c>
      <c r="C24" s="736">
        <f>+TRIGO!C30</f>
        <v>100</v>
      </c>
      <c r="D24" s="695" t="s">
        <v>98</v>
      </c>
      <c r="E24" s="737" t="e">
        <f>+Valores!#REF!</f>
        <v>#REF!</v>
      </c>
      <c r="F24" s="738">
        <f>+Valores!F12</f>
        <v>1040</v>
      </c>
      <c r="G24" s="168" t="s">
        <v>99</v>
      </c>
      <c r="H24" s="724" t="e">
        <f>C24*(E24/1000)*J7</f>
        <v>#REF!</v>
      </c>
      <c r="I24" s="725">
        <f>C24*(F24/1000)*J5</f>
        <v>156000</v>
      </c>
      <c r="J24" s="171" t="e">
        <f>+I24/H24-1</f>
        <v>#REF!</v>
      </c>
      <c r="K24" s="169" t="e">
        <f>H24/$C$10</f>
        <v>#REF!</v>
      </c>
      <c r="L24" s="170" t="e">
        <f>I24/$D$10</f>
        <v>#REF!</v>
      </c>
      <c r="M24" s="171" t="e">
        <f>+L24/K24-1</f>
        <v>#REF!</v>
      </c>
    </row>
    <row r="25" spans="2:13" x14ac:dyDescent="0.25">
      <c r="B25" s="165" t="s">
        <v>10</v>
      </c>
      <c r="C25" s="736">
        <f>+TRIGO!C31</f>
        <v>200</v>
      </c>
      <c r="D25" s="695" t="s">
        <v>98</v>
      </c>
      <c r="E25" s="166" t="e">
        <f>+Valores!#REF!</f>
        <v>#REF!</v>
      </c>
      <c r="F25" s="167">
        <f>+Valores!F11</f>
        <v>970</v>
      </c>
      <c r="G25" s="168" t="s">
        <v>99</v>
      </c>
      <c r="H25" s="724" t="e">
        <f>C25*(E25/1000)*J7</f>
        <v>#REF!</v>
      </c>
      <c r="I25" s="725">
        <f>C25*(F25/1000)*J5</f>
        <v>291000</v>
      </c>
      <c r="J25" s="171" t="e">
        <f>+I25/H25-1</f>
        <v>#REF!</v>
      </c>
      <c r="K25" s="169" t="e">
        <f>H25/$C$10</f>
        <v>#REF!</v>
      </c>
      <c r="L25" s="170" t="e">
        <f>I25/$D$10</f>
        <v>#REF!</v>
      </c>
      <c r="M25" s="171" t="e">
        <f>+L25/K25-1</f>
        <v>#REF!</v>
      </c>
    </row>
    <row r="26" spans="2:13" ht="14.4" customHeight="1" thickBot="1" x14ac:dyDescent="0.3">
      <c r="B26" s="172" t="s">
        <v>100</v>
      </c>
      <c r="C26" s="173"/>
      <c r="D26" s="174"/>
      <c r="E26" s="175" t="e">
        <f>+H26/$J$7</f>
        <v>#REF!</v>
      </c>
      <c r="F26" s="176">
        <f>+I26/$J$5</f>
        <v>298</v>
      </c>
      <c r="G26" s="177" t="s">
        <v>95</v>
      </c>
      <c r="H26" s="729" t="e">
        <f>SUM(H24:H25)</f>
        <v>#REF!</v>
      </c>
      <c r="I26" s="730">
        <f>SUM(I24:I25)</f>
        <v>447000</v>
      </c>
      <c r="J26" s="180" t="s">
        <v>96</v>
      </c>
      <c r="K26" s="178" t="e">
        <f>SUM(K24:K25)</f>
        <v>#REF!</v>
      </c>
      <c r="L26" s="179" t="e">
        <f>SUM(L24:L25)</f>
        <v>#REF!</v>
      </c>
      <c r="M26" s="180" t="s">
        <v>77</v>
      </c>
    </row>
    <row r="27" spans="2:13" x14ac:dyDescent="0.25">
      <c r="B27" s="181"/>
      <c r="C27" s="187"/>
      <c r="D27" s="182"/>
      <c r="E27" s="188"/>
      <c r="F27" s="189"/>
      <c r="G27" s="183"/>
      <c r="H27" s="734"/>
      <c r="I27" s="735"/>
      <c r="J27" s="186"/>
      <c r="K27" s="184"/>
      <c r="L27" s="185"/>
      <c r="M27" s="186"/>
    </row>
    <row r="28" spans="2:13" ht="14.4" customHeight="1" thickBot="1" x14ac:dyDescent="0.3">
      <c r="B28" s="252" t="s">
        <v>101</v>
      </c>
      <c r="C28" s="739">
        <f>+TRIGO!C36</f>
        <v>3</v>
      </c>
      <c r="D28" s="223" t="s">
        <v>98</v>
      </c>
      <c r="E28" s="175" t="e">
        <f>+Valores!#REF!/40*C28</f>
        <v>#REF!</v>
      </c>
      <c r="F28" s="176">
        <f>+Valores!F87/40*C28</f>
        <v>1.2749999999999999</v>
      </c>
      <c r="G28" s="190" t="s">
        <v>95</v>
      </c>
      <c r="H28" s="729" t="e">
        <f>E28*J7</f>
        <v>#REF!</v>
      </c>
      <c r="I28" s="730">
        <f>F28*J5</f>
        <v>1912.4999999999998</v>
      </c>
      <c r="J28" s="191" t="e">
        <f>+I28/H28-1</f>
        <v>#REF!</v>
      </c>
      <c r="K28" s="178" t="e">
        <f>H28/$C$10</f>
        <v>#REF!</v>
      </c>
      <c r="L28" s="179" t="e">
        <f>I28/$D$10</f>
        <v>#REF!</v>
      </c>
      <c r="M28" s="192" t="e">
        <f>+L28/K28-1</f>
        <v>#REF!</v>
      </c>
    </row>
    <row r="29" spans="2:13" x14ac:dyDescent="0.25">
      <c r="B29" s="181"/>
      <c r="C29" s="187"/>
      <c r="D29" s="182"/>
      <c r="E29" s="188"/>
      <c r="F29" s="189"/>
      <c r="G29" s="182"/>
      <c r="H29" s="734"/>
      <c r="I29" s="735"/>
      <c r="J29" s="193"/>
      <c r="K29" s="184"/>
      <c r="L29" s="185"/>
      <c r="M29" s="193"/>
    </row>
    <row r="30" spans="2:13" x14ac:dyDescent="0.25">
      <c r="B30" s="165" t="s">
        <v>102</v>
      </c>
      <c r="C30" s="255">
        <f>+TRIGO!C39</f>
        <v>1</v>
      </c>
      <c r="D30" s="695" t="s">
        <v>103</v>
      </c>
      <c r="E30" s="166" t="e">
        <f>+Valores!#REF!</f>
        <v>#REF!</v>
      </c>
      <c r="F30" s="167">
        <f>+Valores!F109</f>
        <v>55</v>
      </c>
      <c r="G30" s="168" t="s">
        <v>96</v>
      </c>
      <c r="H30" s="724" t="e">
        <f>C30*E30</f>
        <v>#REF!</v>
      </c>
      <c r="I30" s="725">
        <f>+C30*F30</f>
        <v>55</v>
      </c>
      <c r="J30" s="171" t="e">
        <f>+I30/H30-1</f>
        <v>#REF!</v>
      </c>
      <c r="K30" s="169" t="e">
        <f>H30/$C$10</f>
        <v>#REF!</v>
      </c>
      <c r="L30" s="170" t="e">
        <f>I30/$D$10</f>
        <v>#REF!</v>
      </c>
      <c r="M30" s="171" t="e">
        <f>+L30/K30-1</f>
        <v>#REF!</v>
      </c>
    </row>
    <row r="31" spans="2:13" x14ac:dyDescent="0.25">
      <c r="B31" s="165" t="s">
        <v>47</v>
      </c>
      <c r="C31" s="255">
        <f>+TRIGO!C40</f>
        <v>0</v>
      </c>
      <c r="D31" s="695" t="s">
        <v>104</v>
      </c>
      <c r="E31" s="166" t="e">
        <f>+Valores!#REF!</f>
        <v>#REF!</v>
      </c>
      <c r="F31" s="167">
        <f>+Valores!F100</f>
        <v>14</v>
      </c>
      <c r="G31" s="168" t="s">
        <v>95</v>
      </c>
      <c r="H31" s="724" t="e">
        <f>C31*E31*J7</f>
        <v>#REF!</v>
      </c>
      <c r="I31" s="725">
        <f>C31*F31*J5</f>
        <v>0</v>
      </c>
      <c r="J31" s="171" t="e">
        <f>+I31/H31-1</f>
        <v>#REF!</v>
      </c>
      <c r="K31" s="169" t="e">
        <f>H31/$C$10</f>
        <v>#REF!</v>
      </c>
      <c r="L31" s="170" t="e">
        <f>I31/$D$10</f>
        <v>#REF!</v>
      </c>
      <c r="M31" s="171" t="e">
        <f>+L31/K31-1</f>
        <v>#REF!</v>
      </c>
    </row>
    <row r="32" spans="2:13" x14ac:dyDescent="0.25">
      <c r="B32" s="165" t="s">
        <v>46</v>
      </c>
      <c r="C32" s="255">
        <f>+TRIGO!C41</f>
        <v>2</v>
      </c>
      <c r="D32" s="695" t="s">
        <v>104</v>
      </c>
      <c r="E32" s="166" t="e">
        <f>+Valores!#REF!</f>
        <v>#REF!</v>
      </c>
      <c r="F32" s="167">
        <f>+Valores!F99</f>
        <v>14</v>
      </c>
      <c r="G32" s="168" t="s">
        <v>96</v>
      </c>
      <c r="H32" s="724" t="e">
        <f>C32*E32</f>
        <v>#REF!</v>
      </c>
      <c r="I32" s="725">
        <f>+F32*C32</f>
        <v>28</v>
      </c>
      <c r="J32" s="171" t="e">
        <f>+I32/H32-1</f>
        <v>#REF!</v>
      </c>
      <c r="K32" s="169" t="e">
        <f>H32/$C$10</f>
        <v>#REF!</v>
      </c>
      <c r="L32" s="170" t="e">
        <f>I32/$D$10</f>
        <v>#REF!</v>
      </c>
      <c r="M32" s="171" t="e">
        <f>+L32/K32-1</f>
        <v>#REF!</v>
      </c>
    </row>
    <row r="33" spans="2:13" x14ac:dyDescent="0.25">
      <c r="B33" s="165" t="s">
        <v>48</v>
      </c>
      <c r="C33" s="255">
        <f>+TRIGO!C42</f>
        <v>1</v>
      </c>
      <c r="D33" s="695" t="s">
        <v>104</v>
      </c>
      <c r="E33" s="166" t="e">
        <f>+Valores!#REF!</f>
        <v>#REF!</v>
      </c>
      <c r="F33" s="167">
        <f>+Valores!F101</f>
        <v>8</v>
      </c>
      <c r="G33" s="168" t="s">
        <v>96</v>
      </c>
      <c r="H33" s="724" t="e">
        <f>C33*E33</f>
        <v>#REF!</v>
      </c>
      <c r="I33" s="725">
        <f>C33*F33</f>
        <v>8</v>
      </c>
      <c r="J33" s="171" t="e">
        <f>+I33/H33-1</f>
        <v>#REF!</v>
      </c>
      <c r="K33" s="169" t="e">
        <f>H33/$C$10</f>
        <v>#REF!</v>
      </c>
      <c r="L33" s="170" t="e">
        <f>I33/$D$10</f>
        <v>#REF!</v>
      </c>
      <c r="M33" s="171" t="e">
        <f>+L33/K33-1</f>
        <v>#REF!</v>
      </c>
    </row>
    <row r="34" spans="2:13" ht="14.4" customHeight="1" thickBot="1" x14ac:dyDescent="0.3">
      <c r="B34" s="172" t="s">
        <v>105</v>
      </c>
      <c r="C34" s="173"/>
      <c r="D34" s="174"/>
      <c r="E34" s="175" t="e">
        <f>+H34/$J$7</f>
        <v>#REF!</v>
      </c>
      <c r="F34" s="176">
        <f>+I34/$J$5</f>
        <v>6.0666666666666667E-2</v>
      </c>
      <c r="G34" s="177" t="s">
        <v>95</v>
      </c>
      <c r="H34" s="729" t="e">
        <f>SUM(H30:H33)</f>
        <v>#REF!</v>
      </c>
      <c r="I34" s="730">
        <f>SUM(I30:I33)</f>
        <v>91</v>
      </c>
      <c r="J34" s="180" t="s">
        <v>96</v>
      </c>
      <c r="K34" s="178" t="e">
        <f>SUM(K30:K33)</f>
        <v>#REF!</v>
      </c>
      <c r="L34" s="179" t="e">
        <f>SUM(L30:L33)</f>
        <v>#REF!</v>
      </c>
      <c r="M34" s="180" t="e">
        <f>+L34/K34-1</f>
        <v>#REF!</v>
      </c>
    </row>
    <row r="35" spans="2:13" x14ac:dyDescent="0.25">
      <c r="B35" s="181"/>
      <c r="C35" s="187"/>
      <c r="D35" s="182"/>
      <c r="E35" s="188"/>
      <c r="F35" s="189"/>
      <c r="G35" s="183"/>
      <c r="H35" s="734"/>
      <c r="I35" s="735"/>
      <c r="J35" s="186"/>
      <c r="K35" s="184"/>
      <c r="L35" s="185"/>
      <c r="M35" s="186"/>
    </row>
    <row r="36" spans="2:13" ht="13.95" customHeight="1" x14ac:dyDescent="0.25">
      <c r="B36" s="165" t="s">
        <v>106</v>
      </c>
      <c r="C36" s="256">
        <f>+TRIGO!C45</f>
        <v>30</v>
      </c>
      <c r="D36" s="695" t="s">
        <v>107</v>
      </c>
      <c r="E36" s="194" t="e">
        <f>+Valores!#REF!</f>
        <v>#REF!</v>
      </c>
      <c r="F36" s="195">
        <f>+TRIGO!E45</f>
        <v>4.6100000000000002E-2</v>
      </c>
      <c r="G36" s="168" t="s">
        <v>72</v>
      </c>
      <c r="H36" s="740" t="e">
        <f>C36*(E36)*C5</f>
        <v>#REF!</v>
      </c>
      <c r="I36" s="741">
        <f>C36*(F36)*D5</f>
        <v>43564.5</v>
      </c>
      <c r="J36" s="171" t="e">
        <f>+I36/H36-1</f>
        <v>#REF!</v>
      </c>
      <c r="K36" s="196" t="e">
        <f>H36/$C$10</f>
        <v>#REF!</v>
      </c>
      <c r="L36" s="197" t="e">
        <f>I36/$D$10</f>
        <v>#REF!</v>
      </c>
      <c r="M36" s="171" t="e">
        <f>+L36/K36-1</f>
        <v>#REF!</v>
      </c>
    </row>
    <row r="37" spans="2:13" ht="13.95" customHeight="1" thickBot="1" x14ac:dyDescent="0.3">
      <c r="B37" s="198"/>
      <c r="C37" s="199"/>
      <c r="D37" s="200"/>
      <c r="E37" s="201"/>
      <c r="F37" s="202"/>
      <c r="G37" s="203"/>
      <c r="H37" s="742"/>
      <c r="I37" s="743"/>
      <c r="J37" s="206"/>
      <c r="K37" s="204"/>
      <c r="L37" s="205"/>
      <c r="M37" s="206"/>
    </row>
    <row r="38" spans="2:13" ht="16.2" customHeight="1" thickBot="1" x14ac:dyDescent="0.3">
      <c r="B38" s="207" t="s">
        <v>108</v>
      </c>
      <c r="C38" s="208"/>
      <c r="D38" s="208"/>
      <c r="E38" s="744" t="e">
        <f>+H38/J7</f>
        <v>#REF!</v>
      </c>
      <c r="F38" s="744" t="e">
        <f>+I38/J5</f>
        <v>#REF!</v>
      </c>
      <c r="G38" s="209" t="e">
        <f>+F38/E38-1</f>
        <v>#REF!</v>
      </c>
      <c r="H38" s="745" t="e">
        <f>+H22+H26+H34+H28+H36</f>
        <v>#REF!</v>
      </c>
      <c r="I38" s="745" t="e">
        <f>+I22+I26+I34+I28+I36</f>
        <v>#REF!</v>
      </c>
      <c r="J38" s="209" t="e">
        <f>+I38/H38-1</f>
        <v>#REF!</v>
      </c>
      <c r="K38" s="744" t="e">
        <f>+K22+K26+K34+K28+K36</f>
        <v>#REF!</v>
      </c>
      <c r="L38" s="744" t="e">
        <f>+L22+L26+L34+L28+L36</f>
        <v>#REF!</v>
      </c>
      <c r="M38" s="210" t="e">
        <f>+L38/K38-1</f>
        <v>#REF!</v>
      </c>
    </row>
    <row r="39" spans="2:13" ht="15.6" customHeight="1" x14ac:dyDescent="0.25">
      <c r="G39" s="37"/>
      <c r="H39" s="746"/>
      <c r="I39" s="746"/>
      <c r="K39" s="747" t="e">
        <f>+H38/C10-K38</f>
        <v>#REF!</v>
      </c>
      <c r="L39" s="747" t="e">
        <f>+I38/D10-L38</f>
        <v>#REF!</v>
      </c>
    </row>
    <row r="40" spans="2:13" ht="16.2" customHeight="1" thickBot="1" x14ac:dyDescent="0.3">
      <c r="G40" s="37"/>
      <c r="H40" s="746"/>
      <c r="I40" s="746"/>
      <c r="K40" s="747"/>
      <c r="L40" s="747"/>
    </row>
    <row r="41" spans="2:13" ht="16.2" customHeight="1" thickBot="1" x14ac:dyDescent="0.3">
      <c r="B41" s="1688" t="s">
        <v>109</v>
      </c>
      <c r="C41" s="1686"/>
      <c r="D41" s="1687"/>
      <c r="I41" s="211"/>
    </row>
    <row r="42" spans="2:13" ht="14.4" customHeight="1" thickBot="1" x14ac:dyDescent="0.3">
      <c r="B42" s="748" t="e">
        <f>+J43*D10*C42/100</f>
        <v>#REF!</v>
      </c>
      <c r="C42" s="749">
        <f>+TRIGO!C51</f>
        <v>8</v>
      </c>
      <c r="D42" s="232" t="s">
        <v>72</v>
      </c>
      <c r="L42" s="212"/>
      <c r="M42" s="213"/>
    </row>
    <row r="43" spans="2:13" ht="16.95" customHeight="1" thickTop="1" thickBot="1" x14ac:dyDescent="0.3">
      <c r="G43" s="104"/>
      <c r="H43" s="105"/>
      <c r="I43" s="106" t="s">
        <v>110</v>
      </c>
      <c r="J43" s="260">
        <f>+TRIGO!H52</f>
        <v>45</v>
      </c>
      <c r="L43" s="212"/>
      <c r="M43" s="213"/>
    </row>
    <row r="44" spans="2:13" ht="16.95" customHeight="1" thickTop="1" thickBot="1" x14ac:dyDescent="0.3">
      <c r="B44" s="1688" t="s">
        <v>111</v>
      </c>
      <c r="C44" s="1686"/>
      <c r="D44" s="1687"/>
      <c r="G44" s="23"/>
      <c r="H44" s="23"/>
      <c r="I44" s="24" t="s">
        <v>112</v>
      </c>
      <c r="J44" s="25">
        <v>22</v>
      </c>
    </row>
    <row r="45" spans="2:13" ht="13.95" customHeight="1" x14ac:dyDescent="0.25">
      <c r="B45" s="187" t="s">
        <v>113</v>
      </c>
      <c r="C45" s="189">
        <f>+TRIGO!C54</f>
        <v>730</v>
      </c>
      <c r="D45" s="232" t="s">
        <v>65</v>
      </c>
      <c r="G45" s="26"/>
      <c r="H45" s="26"/>
      <c r="I45" s="27" t="s">
        <v>114</v>
      </c>
      <c r="J45" s="268">
        <f>+TRIGO!H53</f>
        <v>33.094444965166467</v>
      </c>
    </row>
    <row r="46" spans="2:13" x14ac:dyDescent="0.25">
      <c r="B46" s="214" t="s">
        <v>115</v>
      </c>
      <c r="C46" s="189">
        <f>+TRIGO!C55</f>
        <v>500</v>
      </c>
      <c r="D46" s="232" t="s">
        <v>65</v>
      </c>
    </row>
    <row r="48" spans="2:13" ht="16.2" customHeight="1" thickBot="1" x14ac:dyDescent="0.3">
      <c r="H48" s="31"/>
      <c r="I48" s="31"/>
      <c r="K48" s="31"/>
      <c r="L48" s="31"/>
    </row>
    <row r="49" spans="2:13" ht="18.600000000000001" customHeight="1" thickTop="1" thickBot="1" x14ac:dyDescent="0.3">
      <c r="B49" s="1690" t="s">
        <v>116</v>
      </c>
      <c r="C49" s="1691"/>
      <c r="D49" s="1691"/>
      <c r="E49" s="1691"/>
      <c r="F49" s="1691"/>
      <c r="G49" s="1691"/>
      <c r="H49" s="750" t="e">
        <f>+J43*C10*(100-C42)/100-H38-(C45+C46)*J43</f>
        <v>#REF!</v>
      </c>
      <c r="I49" s="751" t="e">
        <f>+J43*D10*(100-C42)/100-I38-(C45+C46)*J43</f>
        <v>#REF!</v>
      </c>
      <c r="J49" s="32" t="s">
        <v>117</v>
      </c>
      <c r="K49" s="83" t="e">
        <f>+H49/C10</f>
        <v>#REF!</v>
      </c>
      <c r="L49" s="83" t="e">
        <f>+I49/D10</f>
        <v>#REF!</v>
      </c>
      <c r="M49" s="33" t="e">
        <f>+L49/K49-1</f>
        <v>#REF!</v>
      </c>
    </row>
    <row r="50" spans="2:13" ht="16.2" customHeight="1" thickTop="1" x14ac:dyDescent="0.25">
      <c r="G50" s="37" t="s">
        <v>118</v>
      </c>
      <c r="H50" s="746" t="e">
        <f>+H49/J7</f>
        <v>#REF!</v>
      </c>
      <c r="I50" s="746" t="e">
        <f>+I49/J5</f>
        <v>#REF!</v>
      </c>
      <c r="J50" s="94" t="e">
        <f>+I50/H50-1</f>
        <v>#REF!</v>
      </c>
      <c r="K50" s="36" t="e">
        <f>+K49/K38</f>
        <v>#REF!</v>
      </c>
      <c r="L50" s="36" t="e">
        <f>+L49/L38</f>
        <v>#REF!</v>
      </c>
    </row>
    <row r="53" spans="2:13" x14ac:dyDescent="0.25">
      <c r="I53" s="747"/>
    </row>
    <row r="54" spans="2:13" x14ac:dyDescent="0.25">
      <c r="I54" s="752"/>
    </row>
    <row r="55" spans="2:13" x14ac:dyDescent="0.25">
      <c r="I55" s="747"/>
    </row>
    <row r="56" spans="2:13" x14ac:dyDescent="0.25">
      <c r="I56" s="747"/>
    </row>
    <row r="57" spans="2:13" x14ac:dyDescent="0.25">
      <c r="I57" s="753"/>
    </row>
  </sheetData>
  <mergeCells count="8">
    <mergeCell ref="B1:L2"/>
    <mergeCell ref="B7:D7"/>
    <mergeCell ref="B41:D41"/>
    <mergeCell ref="C14:D14"/>
    <mergeCell ref="B49:G49"/>
    <mergeCell ref="H5:I5"/>
    <mergeCell ref="H7:I7"/>
    <mergeCell ref="B44:D44"/>
  </mergeCells>
  <printOptions horizontalCentered="1" verticalCentered="1"/>
  <pageMargins left="0.59055118110236227" right="0.59055118110236227" top="0.47244094488188981" bottom="0.47244094488188981" header="0.31496062992125978" footer="0.31496062992125978"/>
  <pageSetup paperSize="9" scale="74" orientation="landscape" horizontalDpi="360" verticalDpi="36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3">
    <pageSetUpPr fitToPage="1"/>
  </sheetPr>
  <dimension ref="B1:AA59"/>
  <sheetViews>
    <sheetView showGridLines="0" workbookViewId="0">
      <selection activeCell="C8" sqref="C8"/>
    </sheetView>
  </sheetViews>
  <sheetFormatPr baseColWidth="10" defaultColWidth="11.44140625" defaultRowHeight="13.2" x14ac:dyDescent="0.25"/>
  <cols>
    <col min="1" max="1" width="5.6640625" style="261" customWidth="1"/>
    <col min="2" max="2" width="40.6640625" style="261" customWidth="1"/>
    <col min="3" max="3" width="7.109375" style="261" bestFit="1" customWidth="1"/>
    <col min="4" max="4" width="9.6640625" style="261" customWidth="1"/>
    <col min="5" max="6" width="8.6640625" style="261" customWidth="1"/>
    <col min="7" max="7" width="8.44140625" style="261" customWidth="1"/>
    <col min="8" max="9" width="11.6640625" style="261" bestFit="1" customWidth="1"/>
    <col min="10" max="10" width="8.6640625" style="261" customWidth="1"/>
    <col min="11" max="12" width="11.6640625" style="261" bestFit="1" customWidth="1"/>
    <col min="13" max="13" width="9.33203125" style="261" customWidth="1"/>
    <col min="14" max="16" width="8.6640625" style="261" customWidth="1"/>
    <col min="17" max="17" width="5.6640625" style="261" customWidth="1"/>
    <col min="18" max="18" width="13.109375" style="690" bestFit="1" customWidth="1"/>
    <col min="19" max="21" width="11.44140625" style="261" customWidth="1"/>
    <col min="22" max="16384" width="11.44140625" style="261"/>
  </cols>
  <sheetData>
    <row r="1" spans="2:18" ht="12.75" customHeight="1" x14ac:dyDescent="0.25">
      <c r="B1" s="1704" t="s">
        <v>119</v>
      </c>
      <c r="C1" s="1680"/>
      <c r="D1" s="1680"/>
      <c r="E1" s="1680"/>
      <c r="F1" s="1680"/>
      <c r="G1" s="1680"/>
      <c r="H1" s="1680"/>
      <c r="I1" s="1680"/>
      <c r="J1" s="1681"/>
      <c r="R1" s="112" t="s">
        <v>120</v>
      </c>
    </row>
    <row r="2" spans="2:18" ht="12.75" customHeight="1" thickBot="1" x14ac:dyDescent="0.3">
      <c r="B2" s="1682"/>
      <c r="C2" s="1683"/>
      <c r="D2" s="1683"/>
      <c r="E2" s="1683"/>
      <c r="F2" s="1683"/>
      <c r="G2" s="1683"/>
      <c r="H2" s="1683"/>
      <c r="I2" s="1683"/>
      <c r="J2" s="1684"/>
      <c r="R2" s="690" t="s">
        <v>121</v>
      </c>
    </row>
    <row r="3" spans="2:18" ht="12.75" customHeight="1" x14ac:dyDescent="0.25">
      <c r="B3" s="114"/>
      <c r="C3" s="114"/>
      <c r="D3" s="114"/>
      <c r="E3" s="114"/>
      <c r="F3" s="114"/>
      <c r="G3" s="114"/>
      <c r="R3" s="690" t="s">
        <v>64</v>
      </c>
    </row>
    <row r="4" spans="2:18" ht="12.75" customHeight="1" x14ac:dyDescent="0.25">
      <c r="B4" s="114"/>
      <c r="C4" s="114"/>
      <c r="D4" s="114"/>
      <c r="E4" s="114"/>
      <c r="F4" s="114"/>
      <c r="G4" s="114"/>
    </row>
    <row r="5" spans="2:18" ht="13.95" customHeight="1" x14ac:dyDescent="0.25">
      <c r="B5" s="123" t="s">
        <v>64</v>
      </c>
      <c r="C5" s="124" t="e">
        <f>+Valores!#REF!</f>
        <v>#REF!</v>
      </c>
      <c r="D5" s="124">
        <f>+RESUMEN!F4</f>
        <v>48000</v>
      </c>
      <c r="E5" s="125" t="s">
        <v>65</v>
      </c>
      <c r="F5" s="126" t="e">
        <f>+D5/C5-1</f>
        <v>#REF!</v>
      </c>
      <c r="H5" s="1692" t="s">
        <v>66</v>
      </c>
      <c r="I5" s="1693"/>
      <c r="J5" s="127">
        <f>+RESUMEN!Q15</f>
        <v>1500</v>
      </c>
      <c r="K5" s="128" t="s">
        <v>67</v>
      </c>
      <c r="L5" s="129"/>
      <c r="M5" s="215"/>
      <c r="N5" s="215"/>
      <c r="O5" s="215"/>
      <c r="P5" s="215"/>
      <c r="R5" s="690" t="s">
        <v>73</v>
      </c>
    </row>
    <row r="6" spans="2:18" ht="13.95" customHeight="1" thickBot="1" x14ac:dyDescent="0.3"/>
    <row r="7" spans="2:18" ht="17.399999999999999" customHeight="1" thickBot="1" x14ac:dyDescent="0.3">
      <c r="B7" s="1685" t="s">
        <v>68</v>
      </c>
      <c r="C7" s="1686"/>
      <c r="D7" s="1687"/>
      <c r="H7" s="1694" t="s">
        <v>69</v>
      </c>
      <c r="I7" s="1695"/>
      <c r="J7" s="130" t="e">
        <f>+Valores!#REF!</f>
        <v>#REF!</v>
      </c>
      <c r="K7" s="131" t="s">
        <v>67</v>
      </c>
      <c r="L7" s="132"/>
      <c r="R7" s="690" t="s">
        <v>108</v>
      </c>
    </row>
    <row r="8" spans="2:18" x14ac:dyDescent="0.25">
      <c r="B8" s="187" t="s">
        <v>70</v>
      </c>
      <c r="C8" s="133" t="e">
        <f>+Valores!#REF!</f>
        <v>#REF!</v>
      </c>
      <c r="D8" s="133" t="e">
        <f>+Valores!#REF!</f>
        <v>#REF!</v>
      </c>
      <c r="E8" s="134" t="s">
        <v>65</v>
      </c>
      <c r="F8" s="135" t="e">
        <f>+D8/C8-1</f>
        <v>#REF!</v>
      </c>
    </row>
    <row r="9" spans="2:18" x14ac:dyDescent="0.25">
      <c r="B9" s="187" t="s">
        <v>71</v>
      </c>
      <c r="C9" s="136">
        <v>0.03</v>
      </c>
      <c r="D9" s="136">
        <v>0.03</v>
      </c>
      <c r="E9" s="232" t="s">
        <v>72</v>
      </c>
      <c r="R9" s="690" t="s">
        <v>122</v>
      </c>
    </row>
    <row r="10" spans="2:18" x14ac:dyDescent="0.25">
      <c r="B10" s="137" t="s">
        <v>73</v>
      </c>
      <c r="C10" s="138" t="e">
        <f>+C5*(1-C9)-C8</f>
        <v>#REF!</v>
      </c>
      <c r="D10" s="138" t="e">
        <f>+D5*(1-D9)-D8</f>
        <v>#REF!</v>
      </c>
      <c r="E10" s="134" t="s">
        <v>65</v>
      </c>
      <c r="F10" s="139" t="e">
        <f>+D10/C10-1</f>
        <v>#REF!</v>
      </c>
      <c r="R10" s="690" t="s">
        <v>113</v>
      </c>
    </row>
    <row r="11" spans="2:18" x14ac:dyDescent="0.25">
      <c r="R11" s="690" t="s">
        <v>115</v>
      </c>
    </row>
    <row r="12" spans="2:18" ht="13.95" customHeight="1" thickBot="1" x14ac:dyDescent="0.3"/>
    <row r="13" spans="2:18" ht="17.399999999999999" customHeight="1" thickBot="1" x14ac:dyDescent="0.3">
      <c r="B13" s="53" t="s">
        <v>74</v>
      </c>
      <c r="C13" s="703"/>
      <c r="D13" s="704"/>
      <c r="E13" s="140" t="s">
        <v>75</v>
      </c>
      <c r="F13" s="141" t="s">
        <v>75</v>
      </c>
      <c r="G13" s="142"/>
      <c r="H13" s="143" t="s">
        <v>76</v>
      </c>
      <c r="I13" s="144" t="s">
        <v>76</v>
      </c>
      <c r="J13" s="142"/>
      <c r="K13" s="145" t="s">
        <v>77</v>
      </c>
      <c r="L13" s="146" t="s">
        <v>77</v>
      </c>
      <c r="R13" s="690" t="s">
        <v>123</v>
      </c>
    </row>
    <row r="14" spans="2:18" ht="14.4" customHeight="1" thickBot="1" x14ac:dyDescent="0.3">
      <c r="B14" s="147" t="s">
        <v>78</v>
      </c>
      <c r="C14" s="1689" t="s">
        <v>79</v>
      </c>
      <c r="D14" s="1681"/>
      <c r="E14" s="148" t="s">
        <v>80</v>
      </c>
      <c r="F14" s="149" t="s">
        <v>81</v>
      </c>
      <c r="G14" s="150" t="s">
        <v>82</v>
      </c>
      <c r="H14" s="151" t="s">
        <v>81</v>
      </c>
      <c r="I14" s="152" t="s">
        <v>83</v>
      </c>
      <c r="J14" s="153" t="s">
        <v>72</v>
      </c>
      <c r="K14" s="154" t="s">
        <v>81</v>
      </c>
      <c r="L14" s="155" t="s">
        <v>83</v>
      </c>
      <c r="M14" s="156" t="s">
        <v>72</v>
      </c>
      <c r="R14" s="690" t="s">
        <v>124</v>
      </c>
    </row>
    <row r="15" spans="2:18" x14ac:dyDescent="0.25">
      <c r="B15" s="157" t="s">
        <v>84</v>
      </c>
      <c r="C15" s="720">
        <f>+Soja2º!C15</f>
        <v>1</v>
      </c>
      <c r="D15" s="158" t="s">
        <v>85</v>
      </c>
      <c r="E15" s="159" t="e">
        <f>+Valores!#REF!</f>
        <v>#REF!</v>
      </c>
      <c r="F15" s="160">
        <f>+Valores!F17</f>
        <v>45</v>
      </c>
      <c r="G15" s="161" t="s">
        <v>86</v>
      </c>
      <c r="H15" s="721" t="e">
        <f t="shared" ref="H15:H21" si="0">+C15*E15*$J$7</f>
        <v>#REF!</v>
      </c>
      <c r="I15" s="722">
        <f t="shared" ref="I15:I21" si="1">+F15*C15*$J$5</f>
        <v>67500</v>
      </c>
      <c r="J15" s="164" t="e">
        <f t="shared" ref="J15:J21" si="2">+I15/H15-1</f>
        <v>#REF!</v>
      </c>
      <c r="K15" s="184" t="e">
        <f t="shared" ref="K15:K21" si="3">+H15/$C$10</f>
        <v>#REF!</v>
      </c>
      <c r="L15" s="185" t="e">
        <f t="shared" ref="L15:L21" si="4">+I15/$D$10</f>
        <v>#REF!</v>
      </c>
      <c r="M15" s="216" t="e">
        <f t="shared" ref="M15:M21" si="5">+L15/K15-1</f>
        <v>#REF!</v>
      </c>
      <c r="N15" s="217"/>
      <c r="O15" s="217"/>
      <c r="P15" s="217"/>
    </row>
    <row r="16" spans="2:18" x14ac:dyDescent="0.25">
      <c r="B16" s="165" t="s">
        <v>125</v>
      </c>
      <c r="C16" s="723">
        <f>+Soja2º!C17</f>
        <v>4.5</v>
      </c>
      <c r="D16" s="695" t="s">
        <v>85</v>
      </c>
      <c r="E16" s="166" t="e">
        <f>+Valores!#REF!</f>
        <v>#REF!</v>
      </c>
      <c r="F16" s="167">
        <f>+Valores!F65</f>
        <v>4.3</v>
      </c>
      <c r="G16" s="168" t="s">
        <v>86</v>
      </c>
      <c r="H16" s="724" t="e">
        <f t="shared" si="0"/>
        <v>#REF!</v>
      </c>
      <c r="I16" s="725">
        <f t="shared" si="1"/>
        <v>29024.999999999996</v>
      </c>
      <c r="J16" s="171" t="e">
        <f t="shared" si="2"/>
        <v>#REF!</v>
      </c>
      <c r="K16" s="169" t="e">
        <f t="shared" si="3"/>
        <v>#REF!</v>
      </c>
      <c r="L16" s="170" t="e">
        <f t="shared" si="4"/>
        <v>#REF!</v>
      </c>
      <c r="M16" s="218" t="e">
        <f t="shared" si="5"/>
        <v>#REF!</v>
      </c>
      <c r="N16" s="217"/>
      <c r="O16" s="217"/>
      <c r="P16" s="217"/>
      <c r="R16" s="690" t="s">
        <v>70</v>
      </c>
    </row>
    <row r="17" spans="2:27" x14ac:dyDescent="0.25">
      <c r="B17" s="165" t="s">
        <v>8</v>
      </c>
      <c r="C17" s="723">
        <f>+Soja2º!C16</f>
        <v>0.05</v>
      </c>
      <c r="D17" s="695" t="s">
        <v>85</v>
      </c>
      <c r="E17" s="166" t="e">
        <f>+Valores!#REF!</f>
        <v>#REF!</v>
      </c>
      <c r="F17" s="167" t="e">
        <f>+Valores!#REF!</f>
        <v>#REF!</v>
      </c>
      <c r="G17" s="168" t="s">
        <v>89</v>
      </c>
      <c r="H17" s="724" t="e">
        <f t="shared" si="0"/>
        <v>#REF!</v>
      </c>
      <c r="I17" s="725" t="e">
        <f t="shared" si="1"/>
        <v>#REF!</v>
      </c>
      <c r="J17" s="171" t="e">
        <f t="shared" si="2"/>
        <v>#REF!</v>
      </c>
      <c r="K17" s="169" t="e">
        <f t="shared" si="3"/>
        <v>#REF!</v>
      </c>
      <c r="L17" s="170" t="e">
        <f t="shared" si="4"/>
        <v>#REF!</v>
      </c>
      <c r="M17" s="218" t="e">
        <f t="shared" si="5"/>
        <v>#REF!</v>
      </c>
      <c r="N17" s="217"/>
      <c r="O17" s="217"/>
      <c r="P17" s="217"/>
    </row>
    <row r="18" spans="2:27" x14ac:dyDescent="0.25">
      <c r="B18" s="165" t="s">
        <v>126</v>
      </c>
      <c r="C18" s="726">
        <f>+Soja2º!C33</f>
        <v>0</v>
      </c>
      <c r="D18" s="695" t="s">
        <v>85</v>
      </c>
      <c r="E18" s="166" t="e">
        <f>+Valores!#REF!</f>
        <v>#REF!</v>
      </c>
      <c r="F18" s="167">
        <f>+Valores!F29</f>
        <v>30.5</v>
      </c>
      <c r="G18" s="168" t="s">
        <v>89</v>
      </c>
      <c r="H18" s="724" t="e">
        <f t="shared" si="0"/>
        <v>#REF!</v>
      </c>
      <c r="I18" s="725">
        <f t="shared" si="1"/>
        <v>0</v>
      </c>
      <c r="J18" s="171" t="e">
        <f t="shared" si="2"/>
        <v>#REF!</v>
      </c>
      <c r="K18" s="169" t="e">
        <f t="shared" si="3"/>
        <v>#REF!</v>
      </c>
      <c r="L18" s="170" t="e">
        <f t="shared" si="4"/>
        <v>#REF!</v>
      </c>
      <c r="M18" s="218" t="e">
        <f t="shared" si="5"/>
        <v>#REF!</v>
      </c>
      <c r="N18" s="217"/>
      <c r="O18" s="217"/>
      <c r="P18" s="217"/>
    </row>
    <row r="19" spans="2:27" x14ac:dyDescent="0.25">
      <c r="B19" s="165" t="s">
        <v>127</v>
      </c>
      <c r="C19" s="726">
        <f>+Soja2º!C25</f>
        <v>0.3</v>
      </c>
      <c r="D19" s="219" t="s">
        <v>128</v>
      </c>
      <c r="E19" s="166" t="e">
        <f>+Valores!#REF!</f>
        <v>#REF!</v>
      </c>
      <c r="F19" s="167">
        <f>+Valores!F30</f>
        <v>21</v>
      </c>
      <c r="G19" s="168" t="s">
        <v>89</v>
      </c>
      <c r="H19" s="724" t="e">
        <f t="shared" si="0"/>
        <v>#REF!</v>
      </c>
      <c r="I19" s="725">
        <f t="shared" si="1"/>
        <v>9450</v>
      </c>
      <c r="J19" s="171" t="e">
        <f t="shared" si="2"/>
        <v>#REF!</v>
      </c>
      <c r="K19" s="169" t="e">
        <f t="shared" si="3"/>
        <v>#REF!</v>
      </c>
      <c r="L19" s="170" t="e">
        <f t="shared" si="4"/>
        <v>#REF!</v>
      </c>
      <c r="M19" s="218" t="e">
        <f t="shared" si="5"/>
        <v>#REF!</v>
      </c>
      <c r="N19" s="217"/>
      <c r="O19" s="217"/>
      <c r="P19" s="217"/>
    </row>
    <row r="20" spans="2:27" x14ac:dyDescent="0.25">
      <c r="B20" s="165" t="s">
        <v>129</v>
      </c>
      <c r="C20" s="726">
        <f>+Soja2º!C34</f>
        <v>0</v>
      </c>
      <c r="D20" s="695" t="s">
        <v>85</v>
      </c>
      <c r="E20" s="166" t="e">
        <f>+Valores!#REF!</f>
        <v>#REF!</v>
      </c>
      <c r="F20" s="167" t="e">
        <f>+Valores!#REF!</f>
        <v>#REF!</v>
      </c>
      <c r="G20" s="168" t="s">
        <v>89</v>
      </c>
      <c r="H20" s="724" t="e">
        <f t="shared" si="0"/>
        <v>#REF!</v>
      </c>
      <c r="I20" s="725" t="e">
        <f t="shared" si="1"/>
        <v>#REF!</v>
      </c>
      <c r="J20" s="171" t="e">
        <f t="shared" si="2"/>
        <v>#REF!</v>
      </c>
      <c r="K20" s="169" t="e">
        <f t="shared" si="3"/>
        <v>#REF!</v>
      </c>
      <c r="L20" s="170" t="e">
        <f t="shared" si="4"/>
        <v>#REF!</v>
      </c>
      <c r="M20" s="218" t="e">
        <f t="shared" si="5"/>
        <v>#REF!</v>
      </c>
      <c r="N20" s="217"/>
      <c r="O20" s="217"/>
      <c r="P20" s="217"/>
      <c r="R20" s="690" t="s">
        <v>130</v>
      </c>
    </row>
    <row r="21" spans="2:27" x14ac:dyDescent="0.25">
      <c r="B21" s="165" t="s">
        <v>131</v>
      </c>
      <c r="C21" s="723">
        <f>+Soja2º!C36</f>
        <v>0</v>
      </c>
      <c r="D21" s="695" t="s">
        <v>132</v>
      </c>
      <c r="E21" s="166" t="e">
        <f>+Valores!#REF!</f>
        <v>#REF!</v>
      </c>
      <c r="F21" s="167">
        <f>+Valores!F28</f>
        <v>4.5</v>
      </c>
      <c r="G21" s="220" t="s">
        <v>133</v>
      </c>
      <c r="H21" s="724" t="e">
        <f t="shared" si="0"/>
        <v>#REF!</v>
      </c>
      <c r="I21" s="725">
        <f t="shared" si="1"/>
        <v>0</v>
      </c>
      <c r="J21" s="171" t="e">
        <f t="shared" si="2"/>
        <v>#REF!</v>
      </c>
      <c r="K21" s="169" t="e">
        <f t="shared" si="3"/>
        <v>#REF!</v>
      </c>
      <c r="L21" s="170" t="e">
        <f t="shared" si="4"/>
        <v>#REF!</v>
      </c>
      <c r="M21" s="218" t="e">
        <f t="shared" si="5"/>
        <v>#REF!</v>
      </c>
      <c r="N21" s="690"/>
      <c r="O21" s="690"/>
      <c r="P21" s="690"/>
      <c r="Q21" s="690"/>
      <c r="S21" s="690"/>
      <c r="T21" s="690"/>
      <c r="U21" s="690"/>
      <c r="V21" s="690"/>
      <c r="W21" s="690"/>
      <c r="X21" s="690"/>
      <c r="Y21" s="690"/>
      <c r="Z21" s="690"/>
      <c r="AA21" s="690"/>
    </row>
    <row r="22" spans="2:27" ht="14.4" customHeight="1" thickBot="1" x14ac:dyDescent="0.3">
      <c r="B22" s="172" t="s">
        <v>94</v>
      </c>
      <c r="C22" s="173"/>
      <c r="D22" s="174"/>
      <c r="E22" s="175" t="e">
        <f>+H22/J7</f>
        <v>#REF!</v>
      </c>
      <c r="F22" s="176" t="e">
        <f>+I22/J5</f>
        <v>#REF!</v>
      </c>
      <c r="G22" s="177" t="s">
        <v>95</v>
      </c>
      <c r="H22" s="729" t="e">
        <f>SUM(H15:H21)</f>
        <v>#REF!</v>
      </c>
      <c r="I22" s="730" t="e">
        <f>SUM(I15:I21)</f>
        <v>#REF!</v>
      </c>
      <c r="J22" s="180" t="s">
        <v>96</v>
      </c>
      <c r="K22" s="178" t="e">
        <f>SUM(K15:K21)</f>
        <v>#REF!</v>
      </c>
      <c r="L22" s="179" t="e">
        <f>SUM(L15:L21)</f>
        <v>#REF!</v>
      </c>
      <c r="M22" s="221" t="s">
        <v>77</v>
      </c>
      <c r="N22" s="690"/>
      <c r="O22" s="690"/>
      <c r="P22" s="690"/>
      <c r="Q22" s="690"/>
      <c r="S22" s="690"/>
      <c r="T22" s="690"/>
      <c r="U22" s="690"/>
      <c r="V22" s="690"/>
      <c r="W22" s="690"/>
      <c r="X22" s="690"/>
      <c r="Y22" s="690"/>
      <c r="Z22" s="690"/>
      <c r="AA22" s="690"/>
    </row>
    <row r="23" spans="2:27" x14ac:dyDescent="0.25">
      <c r="B23" s="181"/>
      <c r="C23" s="731"/>
      <c r="D23" s="182"/>
      <c r="E23" s="732"/>
      <c r="F23" s="733"/>
      <c r="G23" s="183"/>
      <c r="H23" s="734"/>
      <c r="I23" s="735"/>
      <c r="J23" s="186"/>
      <c r="K23" s="184"/>
      <c r="L23" s="185"/>
      <c r="M23" s="216"/>
      <c r="N23" s="244"/>
      <c r="O23" s="244"/>
      <c r="P23" s="244"/>
      <c r="Q23" s="244"/>
      <c r="R23" s="244"/>
      <c r="S23" s="244"/>
      <c r="T23" s="244"/>
      <c r="U23" s="244"/>
      <c r="V23" s="244"/>
      <c r="W23" s="244"/>
      <c r="X23" s="244"/>
      <c r="Y23" s="244"/>
      <c r="Z23" s="244"/>
      <c r="AA23" s="244"/>
    </row>
    <row r="24" spans="2:27" ht="14.4" customHeight="1" thickBot="1" x14ac:dyDescent="0.3">
      <c r="B24" s="172" t="s">
        <v>100</v>
      </c>
      <c r="C24" s="173"/>
      <c r="D24" s="174"/>
      <c r="E24" s="175">
        <v>0</v>
      </c>
      <c r="F24" s="176">
        <v>0</v>
      </c>
      <c r="G24" s="177" t="s">
        <v>95</v>
      </c>
      <c r="H24" s="729">
        <v>0</v>
      </c>
      <c r="I24" s="730">
        <v>0</v>
      </c>
      <c r="J24" s="180" t="s">
        <v>96</v>
      </c>
      <c r="K24" s="178">
        <v>0</v>
      </c>
      <c r="L24" s="179">
        <v>0</v>
      </c>
      <c r="M24" s="221" t="s">
        <v>77</v>
      </c>
      <c r="N24" s="690"/>
      <c r="O24" s="690"/>
      <c r="P24" s="690"/>
      <c r="Q24" s="690"/>
      <c r="S24" s="690"/>
      <c r="T24" s="690"/>
      <c r="U24" s="690"/>
      <c r="V24" s="690"/>
      <c r="W24" s="690"/>
      <c r="X24" s="690"/>
      <c r="Y24" s="690"/>
      <c r="Z24" s="690"/>
      <c r="AA24" s="690"/>
    </row>
    <row r="25" spans="2:27" x14ac:dyDescent="0.25">
      <c r="B25" s="181"/>
      <c r="C25" s="187"/>
      <c r="D25" s="182"/>
      <c r="E25" s="188"/>
      <c r="F25" s="189"/>
      <c r="G25" s="183"/>
      <c r="H25" s="734"/>
      <c r="I25" s="735"/>
      <c r="J25" s="186"/>
      <c r="K25" s="184"/>
      <c r="L25" s="185"/>
      <c r="M25" s="216"/>
      <c r="N25" s="217"/>
      <c r="O25" s="217"/>
      <c r="P25" s="217"/>
    </row>
    <row r="26" spans="2:27" ht="14.4" customHeight="1" thickBot="1" x14ac:dyDescent="0.3">
      <c r="B26" s="222" t="s">
        <v>37</v>
      </c>
      <c r="C26" s="254">
        <f>+Soja2º!C45</f>
        <v>3</v>
      </c>
      <c r="D26" s="223" t="s">
        <v>98</v>
      </c>
      <c r="E26" s="175" t="e">
        <f>+Valores!#REF!</f>
        <v>#REF!</v>
      </c>
      <c r="F26" s="176">
        <f>+Valores!F111</f>
        <v>50</v>
      </c>
      <c r="G26" s="190" t="s">
        <v>89</v>
      </c>
      <c r="H26" s="729" t="e">
        <f>+C26/50*E26*J7</f>
        <v>#REF!</v>
      </c>
      <c r="I26" s="730">
        <f>+C26/50*F26*J5</f>
        <v>4500</v>
      </c>
      <c r="J26" s="191" t="e">
        <f>+I26/H26-1</f>
        <v>#REF!</v>
      </c>
      <c r="K26" s="178" t="e">
        <f>H26/$C$10</f>
        <v>#REF!</v>
      </c>
      <c r="L26" s="179" t="e">
        <f>I26/$D$10</f>
        <v>#REF!</v>
      </c>
      <c r="M26" s="224" t="e">
        <f>+L26/K26-1</f>
        <v>#REF!</v>
      </c>
      <c r="N26" s="217"/>
      <c r="O26" s="217"/>
      <c r="P26" s="217"/>
    </row>
    <row r="27" spans="2:27" x14ac:dyDescent="0.25">
      <c r="B27" s="181"/>
      <c r="C27" s="187"/>
      <c r="D27" s="182"/>
      <c r="E27" s="188"/>
      <c r="F27" s="189"/>
      <c r="G27" s="183"/>
      <c r="H27" s="734"/>
      <c r="I27" s="735"/>
      <c r="J27" s="186"/>
      <c r="K27" s="184"/>
      <c r="L27" s="185"/>
      <c r="M27" s="216"/>
      <c r="N27" s="217"/>
      <c r="O27" s="217"/>
      <c r="P27" s="217"/>
    </row>
    <row r="28" spans="2:27" x14ac:dyDescent="0.25">
      <c r="B28" s="165" t="s">
        <v>48</v>
      </c>
      <c r="C28" s="255">
        <f>+Soja2º!C49</f>
        <v>2</v>
      </c>
      <c r="D28" s="695" t="s">
        <v>134</v>
      </c>
      <c r="E28" s="166" t="e">
        <f>+Valores!#REF!</f>
        <v>#REF!</v>
      </c>
      <c r="F28" s="167">
        <f>+Valores!F101</f>
        <v>8</v>
      </c>
      <c r="G28" s="168" t="s">
        <v>96</v>
      </c>
      <c r="H28" s="724" t="e">
        <f>C28*E28</f>
        <v>#REF!</v>
      </c>
      <c r="I28" s="725">
        <f>+F28*C28</f>
        <v>16</v>
      </c>
      <c r="J28" s="171" t="e">
        <f>+I28/H28-1</f>
        <v>#REF!</v>
      </c>
      <c r="K28" s="169" t="e">
        <f>H28/$C$10</f>
        <v>#REF!</v>
      </c>
      <c r="L28" s="170" t="e">
        <f>I28/$D$10</f>
        <v>#REF!</v>
      </c>
      <c r="M28" s="218" t="e">
        <f>+L28/K28-1</f>
        <v>#REF!</v>
      </c>
      <c r="N28" s="217"/>
      <c r="O28" s="217"/>
      <c r="P28" s="217"/>
    </row>
    <row r="29" spans="2:27" x14ac:dyDescent="0.25">
      <c r="B29" s="165" t="s">
        <v>47</v>
      </c>
      <c r="C29" s="255">
        <f>+Soja2º!C50</f>
        <v>1</v>
      </c>
      <c r="D29" s="695" t="s">
        <v>134</v>
      </c>
      <c r="E29" s="166" t="e">
        <f>+Valores!#REF!</f>
        <v>#REF!</v>
      </c>
      <c r="F29" s="167">
        <f>+Valores!F100</f>
        <v>14</v>
      </c>
      <c r="G29" s="168" t="s">
        <v>89</v>
      </c>
      <c r="H29" s="724" t="e">
        <f>+E29*J7*C29</f>
        <v>#REF!</v>
      </c>
      <c r="I29" s="725">
        <f>+J5*F29*C29</f>
        <v>21000</v>
      </c>
      <c r="J29" s="171" t="e">
        <f>+I29/H29-1</f>
        <v>#REF!</v>
      </c>
      <c r="K29" s="169" t="e">
        <f>H29/$C$10</f>
        <v>#REF!</v>
      </c>
      <c r="L29" s="170" t="e">
        <f>I29/$D$10</f>
        <v>#REF!</v>
      </c>
      <c r="M29" s="218" t="e">
        <f>+L29/K29-1</f>
        <v>#REF!</v>
      </c>
      <c r="N29" s="217"/>
      <c r="O29" s="217"/>
      <c r="P29" s="217"/>
      <c r="R29" s="690" t="s">
        <v>135</v>
      </c>
    </row>
    <row r="30" spans="2:27" x14ac:dyDescent="0.25">
      <c r="B30" s="165" t="s">
        <v>136</v>
      </c>
      <c r="C30" s="255">
        <f>+Soja2º!C48</f>
        <v>1</v>
      </c>
      <c r="D30" s="695" t="s">
        <v>103</v>
      </c>
      <c r="E30" s="166" t="e">
        <f>+Valores!#REF!</f>
        <v>#REF!</v>
      </c>
      <c r="F30" s="167">
        <f>+Valores!F111</f>
        <v>50</v>
      </c>
      <c r="G30" s="168" t="s">
        <v>89</v>
      </c>
      <c r="H30" s="724" t="e">
        <f>+E30*J7</f>
        <v>#REF!</v>
      </c>
      <c r="I30" s="725">
        <f>+F30*J5</f>
        <v>75000</v>
      </c>
      <c r="J30" s="171" t="e">
        <f>+I30/H30-1</f>
        <v>#REF!</v>
      </c>
      <c r="K30" s="169" t="e">
        <f>H30/$C$10</f>
        <v>#REF!</v>
      </c>
      <c r="L30" s="170" t="e">
        <f>I30/$D$10</f>
        <v>#REF!</v>
      </c>
      <c r="M30" s="218" t="e">
        <f>+L30/K30-1</f>
        <v>#REF!</v>
      </c>
      <c r="N30" s="244"/>
      <c r="O30" s="244"/>
      <c r="P30" s="244"/>
      <c r="Q30" s="244"/>
      <c r="R30" s="244" t="s">
        <v>137</v>
      </c>
      <c r="S30" s="244"/>
      <c r="T30" s="244"/>
      <c r="U30" s="244"/>
      <c r="V30" s="244"/>
      <c r="W30" s="244"/>
      <c r="X30" s="244"/>
      <c r="Y30" s="244"/>
      <c r="Z30" s="244"/>
      <c r="AA30" s="244"/>
    </row>
    <row r="31" spans="2:27" ht="14.4" customHeight="1" thickBot="1" x14ac:dyDescent="0.3">
      <c r="B31" s="172" t="s">
        <v>105</v>
      </c>
      <c r="C31" s="173"/>
      <c r="D31" s="174"/>
      <c r="E31" s="175"/>
      <c r="F31" s="176"/>
      <c r="G31" s="177"/>
      <c r="H31" s="729" t="e">
        <f>SUM(H28:H30)</f>
        <v>#REF!</v>
      </c>
      <c r="I31" s="730">
        <f>SUM(I28:I30)</f>
        <v>96016</v>
      </c>
      <c r="J31" s="180" t="s">
        <v>96</v>
      </c>
      <c r="K31" s="178" t="e">
        <f>SUM(K28:K30)</f>
        <v>#REF!</v>
      </c>
      <c r="L31" s="179" t="e">
        <f>SUM(L28:L30)</f>
        <v>#REF!</v>
      </c>
      <c r="M31" s="221" t="s">
        <v>77</v>
      </c>
      <c r="N31" s="690"/>
      <c r="O31" s="690"/>
      <c r="P31" s="690"/>
      <c r="Q31" s="690"/>
      <c r="S31" s="690"/>
      <c r="T31" s="690"/>
      <c r="U31" s="690"/>
      <c r="V31" s="690"/>
      <c r="W31" s="690"/>
      <c r="X31" s="690"/>
      <c r="Y31" s="690"/>
      <c r="Z31" s="690"/>
      <c r="AA31" s="690"/>
    </row>
    <row r="32" spans="2:27" x14ac:dyDescent="0.25">
      <c r="B32" s="181"/>
      <c r="C32" s="187"/>
      <c r="D32" s="182"/>
      <c r="E32" s="188"/>
      <c r="F32" s="189"/>
      <c r="G32" s="183"/>
      <c r="H32" s="734"/>
      <c r="I32" s="735"/>
      <c r="J32" s="186"/>
      <c r="K32" s="184"/>
      <c r="L32" s="185"/>
      <c r="M32" s="216"/>
      <c r="N32" s="690"/>
      <c r="O32" s="690"/>
      <c r="P32" s="690"/>
      <c r="Q32" s="690"/>
      <c r="S32" s="690"/>
      <c r="T32" s="690"/>
      <c r="U32" s="690"/>
      <c r="V32" s="690"/>
      <c r="W32" s="690"/>
      <c r="X32" s="690"/>
      <c r="Y32" s="690"/>
      <c r="Z32" s="690"/>
      <c r="AA32" s="690"/>
    </row>
    <row r="33" spans="2:18" ht="13.95" customHeight="1" x14ac:dyDescent="0.25">
      <c r="B33" s="165" t="s">
        <v>106</v>
      </c>
      <c r="C33" s="256">
        <f>+Soja2º!C53</f>
        <v>30</v>
      </c>
      <c r="D33" s="695" t="s">
        <v>107</v>
      </c>
      <c r="E33" s="194" t="e">
        <f>+Valores!#REF!</f>
        <v>#REF!</v>
      </c>
      <c r="F33" s="195" t="e">
        <f>+Valores!#REF!</f>
        <v>#REF!</v>
      </c>
      <c r="G33" s="168" t="s">
        <v>72</v>
      </c>
      <c r="H33" s="740" t="e">
        <f>+C33*E33*C5</f>
        <v>#REF!</v>
      </c>
      <c r="I33" s="741" t="e">
        <f>+F33*C33*D5</f>
        <v>#REF!</v>
      </c>
      <c r="J33" s="171" t="e">
        <f>+I33/H33-1</f>
        <v>#REF!</v>
      </c>
      <c r="K33" s="196" t="e">
        <f>H33/$C$10</f>
        <v>#REF!</v>
      </c>
      <c r="L33" s="197" t="e">
        <f>I33/$D$10</f>
        <v>#REF!</v>
      </c>
      <c r="M33" s="171" t="e">
        <f>+L33/K33-1</f>
        <v>#REF!</v>
      </c>
      <c r="N33" s="217"/>
      <c r="O33" s="217"/>
      <c r="P33" s="217"/>
      <c r="R33" s="690" t="s">
        <v>138</v>
      </c>
    </row>
    <row r="34" spans="2:18" ht="13.95" customHeight="1" thickBot="1" x14ac:dyDescent="0.3">
      <c r="B34" s="198"/>
      <c r="C34" s="199"/>
      <c r="D34" s="200"/>
      <c r="E34" s="201"/>
      <c r="F34" s="202"/>
      <c r="G34" s="203"/>
      <c r="H34" s="742"/>
      <c r="I34" s="743"/>
      <c r="J34" s="206"/>
      <c r="K34" s="204"/>
      <c r="L34" s="205"/>
      <c r="M34" s="206"/>
      <c r="N34" s="217"/>
      <c r="O34" s="217"/>
      <c r="P34" s="217"/>
    </row>
    <row r="35" spans="2:18" ht="16.2" customHeight="1" thickBot="1" x14ac:dyDescent="0.3">
      <c r="B35" s="225" t="s">
        <v>108</v>
      </c>
      <c r="C35" s="226"/>
      <c r="D35" s="226"/>
      <c r="E35" s="754" t="e">
        <f>+H35/J7</f>
        <v>#REF!</v>
      </c>
      <c r="F35" s="754" t="e">
        <f>+I35/J5</f>
        <v>#REF!</v>
      </c>
      <c r="G35" s="227"/>
      <c r="H35" s="755" t="e">
        <f>+H22+H31+H26+H33</f>
        <v>#REF!</v>
      </c>
      <c r="I35" s="755" t="e">
        <f>+I33+I26+I31+I22</f>
        <v>#REF!</v>
      </c>
      <c r="J35" s="227" t="e">
        <f>+I35/H35-1</f>
        <v>#REF!</v>
      </c>
      <c r="K35" s="228" t="e">
        <f>+K22+K24+K31+K26+K33</f>
        <v>#REF!</v>
      </c>
      <c r="L35" s="228" t="e">
        <f>+L33+L26+L31+L24+L22</f>
        <v>#REF!</v>
      </c>
      <c r="M35" s="229" t="e">
        <f>+L35/K35-1</f>
        <v>#REF!</v>
      </c>
    </row>
    <row r="36" spans="2:18" ht="16.2" customHeight="1" thickBot="1" x14ac:dyDescent="0.3">
      <c r="G36" s="37"/>
      <c r="H36" s="746"/>
      <c r="I36" s="746"/>
      <c r="J36" s="752"/>
      <c r="R36" s="112" t="s">
        <v>139</v>
      </c>
    </row>
    <row r="37" spans="2:18" ht="16.2" customHeight="1" thickBot="1" x14ac:dyDescent="0.3">
      <c r="B37" s="1708" t="s">
        <v>109</v>
      </c>
      <c r="C37" s="1686"/>
      <c r="D37" s="1687"/>
      <c r="R37" s="690" t="s">
        <v>121</v>
      </c>
    </row>
    <row r="38" spans="2:18" ht="14.4" customHeight="1" thickBot="1" x14ac:dyDescent="0.3">
      <c r="B38" s="748" t="e">
        <f>+J39*D10*C38/100</f>
        <v>#REF!</v>
      </c>
      <c r="C38" s="749">
        <f>+Soja2º!C58</f>
        <v>8</v>
      </c>
      <c r="D38" s="232" t="s">
        <v>72</v>
      </c>
      <c r="R38" s="690" t="s">
        <v>64</v>
      </c>
    </row>
    <row r="39" spans="2:18" ht="16.95" customHeight="1" thickTop="1" thickBot="1" x14ac:dyDescent="0.3">
      <c r="G39" s="107"/>
      <c r="H39" s="108"/>
      <c r="I39" s="109" t="s">
        <v>110</v>
      </c>
      <c r="J39" s="257">
        <f>+Soja2º!H59</f>
        <v>35</v>
      </c>
      <c r="R39" s="690" t="s">
        <v>73</v>
      </c>
    </row>
    <row r="40" spans="2:18" ht="16.95" customHeight="1" thickTop="1" thickBot="1" x14ac:dyDescent="0.3">
      <c r="B40" s="1708" t="s">
        <v>111</v>
      </c>
      <c r="C40" s="1686"/>
      <c r="D40" s="1687"/>
      <c r="G40" s="23"/>
      <c r="H40" s="23"/>
      <c r="I40" s="24" t="s">
        <v>112</v>
      </c>
      <c r="J40" s="25">
        <v>10</v>
      </c>
    </row>
    <row r="41" spans="2:18" ht="13.95" customHeight="1" x14ac:dyDescent="0.25">
      <c r="B41" s="187" t="s">
        <v>113</v>
      </c>
      <c r="C41" s="189">
        <f>+Soja2º!C61</f>
        <v>700</v>
      </c>
      <c r="D41" s="232" t="s">
        <v>65</v>
      </c>
      <c r="G41" s="26"/>
      <c r="H41" s="26"/>
      <c r="I41" s="27" t="s">
        <v>114</v>
      </c>
      <c r="J41" s="268">
        <f>+Soja2º!H60</f>
        <v>12.766252040992148</v>
      </c>
      <c r="R41" s="690" t="s">
        <v>108</v>
      </c>
    </row>
    <row r="42" spans="2:18" x14ac:dyDescent="0.25">
      <c r="B42" s="214" t="s">
        <v>115</v>
      </c>
      <c r="C42" s="189">
        <f>+Soja2º!C62</f>
        <v>500</v>
      </c>
      <c r="D42" s="232" t="s">
        <v>65</v>
      </c>
    </row>
    <row r="43" spans="2:18" x14ac:dyDescent="0.25">
      <c r="B43" s="122"/>
    </row>
    <row r="44" spans="2:18" ht="16.2" customHeight="1" thickBot="1" x14ac:dyDescent="0.3">
      <c r="H44" s="31"/>
      <c r="I44" s="31"/>
      <c r="K44" s="31"/>
      <c r="L44" s="31"/>
      <c r="R44" s="690" t="s">
        <v>124</v>
      </c>
    </row>
    <row r="45" spans="2:18" ht="18.600000000000001" customHeight="1" thickBot="1" x14ac:dyDescent="0.3">
      <c r="B45" s="1705" t="s">
        <v>140</v>
      </c>
      <c r="C45" s="1706"/>
      <c r="D45" s="1706"/>
      <c r="E45" s="1706"/>
      <c r="F45" s="1706"/>
      <c r="G45" s="1707"/>
      <c r="H45" s="756" t="e">
        <f>+$J$39*C10*(100-$C$38)/100-H35-($C$41+$C$42)*$J$39</f>
        <v>#REF!</v>
      </c>
      <c r="I45" s="757" t="e">
        <f>+$J$39*D10*(100-$C$38)/100-I35-($C$41+$C$42)*$J$39</f>
        <v>#REF!</v>
      </c>
      <c r="J45" s="89" t="s">
        <v>117</v>
      </c>
      <c r="K45" s="90" t="e">
        <f>+H45/C10</f>
        <v>#REF!</v>
      </c>
      <c r="L45" s="90" t="e">
        <f>+I45/D10</f>
        <v>#REF!</v>
      </c>
      <c r="M45" s="91" t="e">
        <f>+L45/K45-1</f>
        <v>#REF!</v>
      </c>
    </row>
    <row r="46" spans="2:18" ht="13.95" customHeight="1" x14ac:dyDescent="0.25">
      <c r="G46" s="34" t="s">
        <v>118</v>
      </c>
      <c r="H46" s="758" t="e">
        <f>+H45/J7</f>
        <v>#REF!</v>
      </c>
      <c r="I46" s="758" t="e">
        <f>+I45/J5</f>
        <v>#REF!</v>
      </c>
      <c r="J46" s="35" t="e">
        <f>+I46/H46-1</f>
        <v>#REF!</v>
      </c>
      <c r="K46" s="82" t="e">
        <f>+K45/(K35+K54)</f>
        <v>#REF!</v>
      </c>
      <c r="L46" s="82" t="e">
        <f>+L45/(L35+L54)</f>
        <v>#REF!</v>
      </c>
      <c r="R46" s="690" t="s">
        <v>70</v>
      </c>
    </row>
    <row r="47" spans="2:18" ht="14.4" customHeight="1" x14ac:dyDescent="0.25">
      <c r="K47" s="1696" t="s">
        <v>141</v>
      </c>
      <c r="L47" s="1697"/>
    </row>
    <row r="48" spans="2:18" ht="13.95" customHeight="1" thickBot="1" x14ac:dyDescent="0.3"/>
    <row r="49" spans="2:13" ht="19.2" customHeight="1" thickTop="1" thickBot="1" x14ac:dyDescent="0.3">
      <c r="B49" s="1702" t="s">
        <v>142</v>
      </c>
      <c r="C49" s="1703"/>
      <c r="D49" s="1703"/>
      <c r="E49" s="1703"/>
      <c r="F49" s="1703"/>
      <c r="G49" s="1703"/>
      <c r="H49" s="759" t="e">
        <f>+Tr!H49</f>
        <v>#REF!</v>
      </c>
      <c r="I49" s="760" t="e">
        <f>+Tr!I49</f>
        <v>#REF!</v>
      </c>
      <c r="J49" s="101" t="s">
        <v>117</v>
      </c>
      <c r="K49" s="102" t="e">
        <f>+Tr!K49</f>
        <v>#REF!</v>
      </c>
      <c r="L49" s="102" t="e">
        <f>+Tr!L49</f>
        <v>#REF!</v>
      </c>
      <c r="M49" s="103" t="e">
        <f>+L49/K49-1</f>
        <v>#REF!</v>
      </c>
    </row>
    <row r="50" spans="2:13" ht="14.4" customHeight="1" thickTop="1" x14ac:dyDescent="0.25">
      <c r="G50" s="34" t="s">
        <v>118</v>
      </c>
      <c r="H50" s="758" t="e">
        <f>+Tr!H50</f>
        <v>#REF!</v>
      </c>
      <c r="I50" s="758" t="e">
        <f>+Tr!I50</f>
        <v>#REF!</v>
      </c>
      <c r="J50" s="35" t="e">
        <f>+I50/H50-1</f>
        <v>#REF!</v>
      </c>
      <c r="K50" s="82" t="e">
        <f>+Tr!K50</f>
        <v>#REF!</v>
      </c>
      <c r="L50" s="82" t="e">
        <f>+Tr!L50</f>
        <v>#REF!</v>
      </c>
      <c r="M50" s="82"/>
    </row>
    <row r="51" spans="2:13" ht="14.4" customHeight="1" x14ac:dyDescent="0.25">
      <c r="K51" s="1696" t="s">
        <v>141</v>
      </c>
      <c r="L51" s="1697"/>
    </row>
    <row r="52" spans="2:13" ht="13.95" customHeight="1" thickBot="1" x14ac:dyDescent="0.3"/>
    <row r="53" spans="2:13" ht="16.2" customHeight="1" thickBot="1" x14ac:dyDescent="0.3">
      <c r="B53" s="1700" t="s">
        <v>143</v>
      </c>
      <c r="C53" s="1686"/>
      <c r="D53" s="1686"/>
      <c r="E53" s="1686"/>
      <c r="F53" s="1687"/>
      <c r="H53" s="1701"/>
      <c r="I53" s="1699"/>
      <c r="K53" s="1701"/>
      <c r="L53" s="1699"/>
      <c r="M53" s="244"/>
    </row>
    <row r="54" spans="2:13" ht="13.95" customHeight="1" x14ac:dyDescent="0.25">
      <c r="E54" s="258">
        <f>+F54</f>
        <v>17</v>
      </c>
      <c r="F54" s="259">
        <f>+Soja2º!C74</f>
        <v>17</v>
      </c>
      <c r="G54" s="97" t="s">
        <v>144</v>
      </c>
      <c r="H54" s="761" t="e">
        <f>+E54*C5</f>
        <v>#REF!</v>
      </c>
      <c r="I54" s="762">
        <f>+F54*D5</f>
        <v>816000</v>
      </c>
      <c r="J54" s="98" t="s">
        <v>117</v>
      </c>
      <c r="K54" s="99" t="e">
        <f>+H54/C10</f>
        <v>#REF!</v>
      </c>
      <c r="L54" s="99" t="e">
        <f>+I54/D10</f>
        <v>#REF!</v>
      </c>
      <c r="M54" s="100" t="e">
        <f>+L54/K54-1</f>
        <v>#REF!</v>
      </c>
    </row>
    <row r="55" spans="2:13" x14ac:dyDescent="0.25">
      <c r="G55" s="80" t="s">
        <v>118</v>
      </c>
      <c r="H55" s="763" t="e">
        <f>+H54/J7</f>
        <v>#REF!</v>
      </c>
      <c r="I55" s="763">
        <f>+I54/J5</f>
        <v>544</v>
      </c>
      <c r="J55" s="81" t="e">
        <f>+I55/H55-1</f>
        <v>#REF!</v>
      </c>
    </row>
    <row r="57" spans="2:13" ht="16.2" customHeight="1" thickBot="1" x14ac:dyDescent="0.3">
      <c r="H57" s="31"/>
      <c r="I57" s="31"/>
      <c r="K57" s="1698" t="s">
        <v>145</v>
      </c>
      <c r="L57" s="1699"/>
    </row>
    <row r="58" spans="2:13" ht="18.600000000000001" customHeight="1" thickTop="1" thickBot="1" x14ac:dyDescent="0.3">
      <c r="B58" s="1690" t="s">
        <v>146</v>
      </c>
      <c r="C58" s="1691"/>
      <c r="D58" s="1691"/>
      <c r="E58" s="1691"/>
      <c r="F58" s="96" t="e">
        <f>+I58/(I54+I35+Tr!I38)</f>
        <v>#REF!</v>
      </c>
      <c r="G58" s="95"/>
      <c r="H58" s="764" t="e">
        <f>+H45+H49-H54</f>
        <v>#REF!</v>
      </c>
      <c r="I58" s="765" t="e">
        <f>+I45+I49-I54</f>
        <v>#REF!</v>
      </c>
      <c r="J58" s="32" t="s">
        <v>117</v>
      </c>
      <c r="K58" s="83" t="e">
        <f>+H58/C10</f>
        <v>#REF!</v>
      </c>
      <c r="L58" s="83" t="e">
        <f>+I58/D10</f>
        <v>#REF!</v>
      </c>
      <c r="M58" s="33" t="e">
        <f>+L58/K58-1</f>
        <v>#REF!</v>
      </c>
    </row>
    <row r="59" spans="2:13" ht="16.2" customHeight="1" thickTop="1" x14ac:dyDescent="0.25">
      <c r="G59" s="37" t="s">
        <v>118</v>
      </c>
      <c r="H59" s="746" t="e">
        <f>+H58/J7</f>
        <v>#REF!</v>
      </c>
      <c r="I59" s="746" t="e">
        <f>+I58/J5</f>
        <v>#REF!</v>
      </c>
      <c r="J59" s="35" t="e">
        <f>+I59/H59-1</f>
        <v>#REF!</v>
      </c>
      <c r="K59" s="82"/>
      <c r="L59" s="82"/>
    </row>
  </sheetData>
  <sheetProtection password="CE1C" sheet="1"/>
  <mergeCells count="16">
    <mergeCell ref="B1:J2"/>
    <mergeCell ref="B7:D7"/>
    <mergeCell ref="C14:D14"/>
    <mergeCell ref="B45:G45"/>
    <mergeCell ref="B37:D37"/>
    <mergeCell ref="B40:D40"/>
    <mergeCell ref="H5:I5"/>
    <mergeCell ref="H7:I7"/>
    <mergeCell ref="K47:L47"/>
    <mergeCell ref="K57:L57"/>
    <mergeCell ref="B53:F53"/>
    <mergeCell ref="H53:I53"/>
    <mergeCell ref="B58:E58"/>
    <mergeCell ref="K53:L53"/>
    <mergeCell ref="B49:G49"/>
    <mergeCell ref="K51:L51"/>
  </mergeCells>
  <printOptions horizontalCentered="1" verticalCentered="1"/>
  <pageMargins left="0.39370078740157483" right="0.39370078740157483" top="0.27559055118110237" bottom="0.27559055118110237" header="0" footer="0"/>
  <pageSetup paperSize="9" scale="63" orientation="landscape"/>
  <colBreaks count="1" manualBreakCount="1">
    <brk id="17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4">
    <pageSetUpPr fitToPage="1"/>
  </sheetPr>
  <dimension ref="B1:AD60"/>
  <sheetViews>
    <sheetView showGridLines="0" topLeftCell="A32" workbookViewId="0">
      <selection activeCell="C8" sqref="C8"/>
    </sheetView>
  </sheetViews>
  <sheetFormatPr baseColWidth="10" defaultColWidth="11.44140625" defaultRowHeight="13.2" x14ac:dyDescent="0.25"/>
  <cols>
    <col min="1" max="1" width="5.6640625" style="261" customWidth="1"/>
    <col min="2" max="2" width="34.88671875" style="261" customWidth="1"/>
    <col min="3" max="3" width="6.6640625" style="261" bestFit="1" customWidth="1"/>
    <col min="4" max="4" width="11.33203125" style="261" bestFit="1" customWidth="1"/>
    <col min="5" max="5" width="9" style="261" bestFit="1" customWidth="1"/>
    <col min="6" max="6" width="9.109375" style="261" bestFit="1" customWidth="1"/>
    <col min="7" max="7" width="8.6640625" style="261" customWidth="1"/>
    <col min="8" max="8" width="13.109375" style="261" bestFit="1" customWidth="1"/>
    <col min="9" max="9" width="11.33203125" style="261" customWidth="1"/>
    <col min="10" max="10" width="7" style="261" bestFit="1" customWidth="1"/>
    <col min="11" max="11" width="8.33203125" style="261" customWidth="1"/>
    <col min="12" max="12" width="7.6640625" style="690" bestFit="1" customWidth="1"/>
    <col min="13" max="13" width="8" style="690" customWidth="1"/>
    <col min="14" max="18" width="7.6640625" style="690" customWidth="1"/>
    <col min="19" max="19" width="20.109375" style="690" bestFit="1" customWidth="1"/>
    <col min="20" max="20" width="4.44140625" style="690" bestFit="1" customWidth="1"/>
    <col min="21" max="21" width="6.6640625" style="690" bestFit="1" customWidth="1"/>
    <col min="22" max="23" width="6" style="690" bestFit="1" customWidth="1"/>
    <col min="24" max="24" width="4.44140625" style="690" bestFit="1" customWidth="1"/>
    <col min="25" max="25" width="7" style="690" bestFit="1" customWidth="1"/>
    <col min="26" max="26" width="4.88671875" style="690" bestFit="1" customWidth="1"/>
    <col min="27" max="27" width="6.88671875" style="690" bestFit="1" customWidth="1"/>
    <col min="28" max="28" width="4.88671875" style="690" bestFit="1" customWidth="1"/>
    <col min="29" max="29" width="4.88671875" style="261" bestFit="1" customWidth="1"/>
    <col min="30" max="30" width="6.88671875" style="261" bestFit="1" customWidth="1"/>
    <col min="31" max="33" width="11.44140625" style="261" customWidth="1"/>
    <col min="34" max="16384" width="11.44140625" style="261"/>
  </cols>
  <sheetData>
    <row r="1" spans="2:28" ht="12.75" customHeight="1" x14ac:dyDescent="0.25">
      <c r="B1" s="1710" t="s">
        <v>147</v>
      </c>
      <c r="C1" s="1680"/>
      <c r="D1" s="1680"/>
      <c r="E1" s="1680"/>
      <c r="F1" s="1680"/>
      <c r="G1" s="1680"/>
      <c r="H1" s="1680"/>
      <c r="I1" s="1680"/>
      <c r="J1" s="1681"/>
    </row>
    <row r="2" spans="2:28" ht="12.75" customHeight="1" thickBot="1" x14ac:dyDescent="0.3">
      <c r="B2" s="1682"/>
      <c r="C2" s="1683"/>
      <c r="D2" s="1683"/>
      <c r="E2" s="1683"/>
      <c r="F2" s="1683"/>
      <c r="G2" s="1683"/>
      <c r="H2" s="1683"/>
      <c r="I2" s="1683"/>
      <c r="J2" s="1684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</row>
    <row r="3" spans="2:28" ht="12.75" customHeight="1" x14ac:dyDescent="0.25">
      <c r="B3" s="114"/>
      <c r="C3" s="114"/>
      <c r="D3" s="114"/>
      <c r="E3" s="114"/>
      <c r="F3" s="114"/>
      <c r="G3" s="114"/>
      <c r="M3" s="244"/>
      <c r="N3" s="244"/>
      <c r="O3" s="244"/>
      <c r="P3" s="244"/>
      <c r="Q3" s="244"/>
      <c r="R3" s="244"/>
      <c r="S3" s="244"/>
      <c r="T3" s="244"/>
      <c r="U3" s="244"/>
      <c r="V3" s="244"/>
      <c r="W3" s="244"/>
      <c r="X3" s="244"/>
      <c r="Y3" s="244"/>
      <c r="Z3" s="244"/>
      <c r="AA3" s="244"/>
      <c r="AB3" s="244"/>
    </row>
    <row r="4" spans="2:28" ht="12.75" customHeight="1" x14ac:dyDescent="0.25">
      <c r="B4" s="114"/>
      <c r="C4" s="114"/>
      <c r="D4" s="114"/>
      <c r="E4" s="114"/>
      <c r="F4" s="114"/>
      <c r="G4" s="114"/>
      <c r="M4" s="244"/>
      <c r="N4" s="244"/>
      <c r="O4" s="244"/>
      <c r="P4" s="244"/>
      <c r="Q4" s="244"/>
      <c r="R4" s="244"/>
      <c r="S4" s="244"/>
      <c r="T4" s="244"/>
      <c r="U4" s="244"/>
      <c r="V4" s="244"/>
      <c r="W4" s="244"/>
      <c r="X4" s="244"/>
      <c r="Y4" s="244"/>
      <c r="Z4" s="244"/>
      <c r="AA4" s="244"/>
      <c r="AB4" s="244"/>
    </row>
    <row r="5" spans="2:28" ht="13.95" customHeight="1" x14ac:dyDescent="0.25">
      <c r="B5" s="123" t="s">
        <v>64</v>
      </c>
      <c r="C5" s="124" t="e">
        <f>+Valores!#REF!</f>
        <v>#REF!</v>
      </c>
      <c r="D5" s="124">
        <f>+RESUMEN!I4</f>
        <v>28500</v>
      </c>
      <c r="E5" s="125" t="s">
        <v>65</v>
      </c>
      <c r="F5" s="126" t="e">
        <f>+D5/C5-1</f>
        <v>#REF!</v>
      </c>
      <c r="H5" s="1692" t="s">
        <v>66</v>
      </c>
      <c r="I5" s="1693"/>
      <c r="J5" s="127">
        <f>+RESUMEN!Q15</f>
        <v>1500</v>
      </c>
      <c r="K5" s="128" t="s">
        <v>67</v>
      </c>
      <c r="L5" s="129"/>
      <c r="M5" s="244"/>
      <c r="N5" s="244"/>
      <c r="O5" s="244"/>
      <c r="P5" s="244"/>
      <c r="Q5" s="244"/>
      <c r="R5" s="244"/>
      <c r="S5" s="244"/>
      <c r="T5" s="244"/>
      <c r="U5" s="244"/>
      <c r="V5" s="244"/>
      <c r="W5" s="244"/>
      <c r="X5" s="244"/>
      <c r="Y5" s="244"/>
      <c r="Z5" s="244"/>
      <c r="AA5" s="244"/>
      <c r="AB5" s="244"/>
    </row>
    <row r="6" spans="2:28" ht="13.95" customHeight="1" thickBot="1" x14ac:dyDescent="0.3">
      <c r="L6" s="261"/>
    </row>
    <row r="7" spans="2:28" ht="17.399999999999999" customHeight="1" thickBot="1" x14ac:dyDescent="0.3">
      <c r="B7" s="1685" t="s">
        <v>68</v>
      </c>
      <c r="C7" s="1686"/>
      <c r="D7" s="1687"/>
      <c r="H7" s="1694" t="s">
        <v>69</v>
      </c>
      <c r="I7" s="1695"/>
      <c r="J7" s="130" t="e">
        <f>+Valores!#REF!</f>
        <v>#REF!</v>
      </c>
      <c r="K7" s="131" t="s">
        <v>67</v>
      </c>
      <c r="L7" s="132"/>
      <c r="M7" s="112"/>
      <c r="N7" s="112"/>
      <c r="O7" s="112"/>
      <c r="P7" s="112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  <c r="AB7" s="112"/>
    </row>
    <row r="8" spans="2:28" x14ac:dyDescent="0.25">
      <c r="B8" s="187" t="s">
        <v>70</v>
      </c>
      <c r="C8" s="133" t="e">
        <f>+Valores!#REF!</f>
        <v>#REF!</v>
      </c>
      <c r="D8" s="133" t="e">
        <f>+Valores!#REF!</f>
        <v>#REF!</v>
      </c>
      <c r="E8" s="134" t="s">
        <v>65</v>
      </c>
      <c r="F8" s="135" t="e">
        <f>+D8/C8-1</f>
        <v>#REF!</v>
      </c>
    </row>
    <row r="9" spans="2:28" x14ac:dyDescent="0.25">
      <c r="B9" s="187" t="s">
        <v>71</v>
      </c>
      <c r="C9" s="136">
        <v>3.5000000000000003E-2</v>
      </c>
      <c r="D9" s="136">
        <v>3.5000000000000003E-2</v>
      </c>
      <c r="E9" s="232" t="s">
        <v>72</v>
      </c>
      <c r="M9" s="244"/>
      <c r="N9" s="244"/>
      <c r="O9" s="244"/>
      <c r="P9" s="244"/>
      <c r="Q9" s="244"/>
      <c r="R9" s="244"/>
      <c r="S9" s="244"/>
      <c r="T9" s="244"/>
      <c r="U9" s="244"/>
      <c r="V9" s="244"/>
      <c r="W9" s="244"/>
      <c r="X9" s="244"/>
      <c r="Y9" s="244"/>
      <c r="Z9" s="244"/>
      <c r="AA9" s="244"/>
      <c r="AB9" s="244"/>
    </row>
    <row r="10" spans="2:28" x14ac:dyDescent="0.25">
      <c r="B10" s="137" t="s">
        <v>73</v>
      </c>
      <c r="C10" s="138" t="e">
        <f>+C5*(1-C9)-C8</f>
        <v>#REF!</v>
      </c>
      <c r="D10" s="138" t="e">
        <f>+D5*(1-D9)-D8</f>
        <v>#REF!</v>
      </c>
      <c r="E10" s="134" t="s">
        <v>65</v>
      </c>
      <c r="F10" s="139" t="e">
        <f>+D10/C10-1</f>
        <v>#REF!</v>
      </c>
      <c r="M10" s="244"/>
      <c r="N10" s="244"/>
      <c r="O10" s="244"/>
      <c r="P10" s="244"/>
      <c r="Q10" s="244"/>
      <c r="R10" s="244"/>
      <c r="S10" s="244"/>
      <c r="T10" s="244"/>
      <c r="U10" s="244"/>
      <c r="V10" s="244"/>
      <c r="W10" s="244"/>
      <c r="X10" s="244"/>
      <c r="Y10" s="244"/>
      <c r="Z10" s="244"/>
      <c r="AA10" s="244"/>
      <c r="AB10" s="244"/>
    </row>
    <row r="11" spans="2:28" x14ac:dyDescent="0.25">
      <c r="B11" s="215"/>
      <c r="C11" s="230"/>
      <c r="D11" s="230"/>
      <c r="F11" s="135"/>
      <c r="M11" s="244"/>
      <c r="N11" s="244"/>
      <c r="O11" s="244"/>
      <c r="P11" s="244"/>
      <c r="Q11" s="244"/>
      <c r="R11" s="244"/>
      <c r="S11" s="244"/>
      <c r="T11" s="244"/>
      <c r="U11" s="244"/>
      <c r="V11" s="244"/>
      <c r="W11" s="244"/>
      <c r="X11" s="244"/>
      <c r="Y11" s="244"/>
      <c r="Z11" s="244"/>
      <c r="AA11" s="244"/>
      <c r="AB11" s="244"/>
    </row>
    <row r="12" spans="2:28" ht="13.95" customHeight="1" thickBot="1" x14ac:dyDescent="0.3">
      <c r="M12" s="244"/>
      <c r="N12" s="244"/>
      <c r="O12" s="244"/>
      <c r="P12" s="244"/>
      <c r="Q12" s="244"/>
      <c r="R12" s="244"/>
      <c r="S12" s="244"/>
      <c r="T12" s="244"/>
      <c r="U12" s="244"/>
      <c r="V12" s="244"/>
      <c r="W12" s="244"/>
      <c r="X12" s="244"/>
      <c r="Y12" s="244"/>
      <c r="Z12" s="244"/>
      <c r="AA12" s="244"/>
      <c r="AB12" s="244"/>
    </row>
    <row r="13" spans="2:28" ht="17.399999999999999" customHeight="1" thickBot="1" x14ac:dyDescent="0.3">
      <c r="B13" s="53" t="s">
        <v>148</v>
      </c>
      <c r="C13" s="703"/>
      <c r="D13" s="704"/>
      <c r="E13" s="140" t="s">
        <v>149</v>
      </c>
      <c r="F13" s="141" t="s">
        <v>149</v>
      </c>
      <c r="G13" s="142"/>
      <c r="H13" s="143" t="s">
        <v>76</v>
      </c>
      <c r="I13" s="144" t="s">
        <v>76</v>
      </c>
      <c r="J13" s="142"/>
      <c r="K13" s="145" t="s">
        <v>77</v>
      </c>
      <c r="L13" s="146" t="s">
        <v>77</v>
      </c>
      <c r="M13" s="261"/>
      <c r="N13" s="244"/>
      <c r="O13" s="244"/>
      <c r="P13" s="244"/>
      <c r="Q13" s="244"/>
      <c r="R13" s="244"/>
      <c r="S13" s="244"/>
      <c r="T13" s="244"/>
      <c r="U13" s="244"/>
      <c r="V13" s="244"/>
      <c r="W13" s="244"/>
      <c r="X13" s="244"/>
      <c r="Y13" s="244"/>
      <c r="Z13" s="244"/>
      <c r="AA13" s="244"/>
      <c r="AB13" s="244"/>
    </row>
    <row r="14" spans="2:28" ht="14.4" customHeight="1" thickBot="1" x14ac:dyDescent="0.3">
      <c r="B14" s="147" t="s">
        <v>78</v>
      </c>
      <c r="C14" s="1689" t="s">
        <v>150</v>
      </c>
      <c r="D14" s="1681"/>
      <c r="E14" s="148" t="s">
        <v>80</v>
      </c>
      <c r="F14" s="149" t="s">
        <v>81</v>
      </c>
      <c r="G14" s="150" t="s">
        <v>82</v>
      </c>
      <c r="H14" s="151" t="s">
        <v>81</v>
      </c>
      <c r="I14" s="152" t="s">
        <v>83</v>
      </c>
      <c r="J14" s="153" t="s">
        <v>72</v>
      </c>
      <c r="K14" s="154" t="s">
        <v>81</v>
      </c>
      <c r="L14" s="155" t="s">
        <v>83</v>
      </c>
      <c r="M14" s="156" t="s">
        <v>72</v>
      </c>
      <c r="N14" s="244"/>
      <c r="O14" s="244"/>
      <c r="P14" s="244"/>
      <c r="Q14" s="244"/>
      <c r="R14" s="244"/>
      <c r="S14" s="244"/>
      <c r="T14" s="244"/>
      <c r="U14" s="244"/>
      <c r="V14" s="244"/>
      <c r="W14" s="244"/>
      <c r="X14" s="244"/>
      <c r="Y14" s="244"/>
      <c r="Z14" s="244"/>
      <c r="AA14" s="244"/>
      <c r="AB14" s="244"/>
    </row>
    <row r="15" spans="2:28" x14ac:dyDescent="0.25">
      <c r="B15" s="157" t="s">
        <v>151</v>
      </c>
      <c r="C15" s="720">
        <f>+'MAIZ 1º'!C15</f>
        <v>1</v>
      </c>
      <c r="D15" s="158" t="s">
        <v>85</v>
      </c>
      <c r="E15" s="159" t="e">
        <f>+Valores!#REF!</f>
        <v>#REF!</v>
      </c>
      <c r="F15" s="160">
        <f>+Valores!F17</f>
        <v>45</v>
      </c>
      <c r="G15" s="161" t="s">
        <v>152</v>
      </c>
      <c r="H15" s="721" t="e">
        <f t="shared" ref="H15:H20" si="0">+E15*C15*$J$7</f>
        <v>#REF!</v>
      </c>
      <c r="I15" s="722">
        <f t="shared" ref="I15:I20" si="1">+F15*C15*$J$5</f>
        <v>67500</v>
      </c>
      <c r="J15" s="164" t="e">
        <f t="shared" ref="J15:J20" si="2">+I15/H15-1</f>
        <v>#REF!</v>
      </c>
      <c r="K15" s="162" t="e">
        <f t="shared" ref="K15:K20" si="3">H15/$C$10</f>
        <v>#REF!</v>
      </c>
      <c r="L15" s="163" t="e">
        <f t="shared" ref="L15:L20" si="4">I15/$D$10</f>
        <v>#REF!</v>
      </c>
      <c r="M15" s="164" t="e">
        <f t="shared" ref="M15:M21" si="5">+L15/K15-1</f>
        <v>#REF!</v>
      </c>
    </row>
    <row r="16" spans="2:28" x14ac:dyDescent="0.25">
      <c r="B16" s="165" t="s">
        <v>153</v>
      </c>
      <c r="C16" s="736">
        <f>+'MAIZ 1º'!C16</f>
        <v>0.2</v>
      </c>
      <c r="D16" s="695" t="s">
        <v>85</v>
      </c>
      <c r="E16" s="166" t="e">
        <f>+Valores!#REF!</f>
        <v>#REF!</v>
      </c>
      <c r="F16" s="167">
        <f>+Valores!F65</f>
        <v>4.3</v>
      </c>
      <c r="G16" s="168" t="s">
        <v>152</v>
      </c>
      <c r="H16" s="724" t="e">
        <f t="shared" si="0"/>
        <v>#REF!</v>
      </c>
      <c r="I16" s="725">
        <f t="shared" si="1"/>
        <v>1290</v>
      </c>
      <c r="J16" s="171" t="e">
        <f t="shared" si="2"/>
        <v>#REF!</v>
      </c>
      <c r="K16" s="169" t="e">
        <f t="shared" si="3"/>
        <v>#REF!</v>
      </c>
      <c r="L16" s="170" t="e">
        <f t="shared" si="4"/>
        <v>#REF!</v>
      </c>
      <c r="M16" s="171" t="e">
        <f t="shared" si="5"/>
        <v>#REF!</v>
      </c>
      <c r="S16" s="214" t="s">
        <v>154</v>
      </c>
      <c r="T16" s="231">
        <v>100</v>
      </c>
      <c r="U16" s="232" t="s">
        <v>91</v>
      </c>
      <c r="V16" s="188" t="e">
        <f>+Valores!#REF!</f>
        <v>#REF!</v>
      </c>
      <c r="W16" s="189" t="e">
        <f>+Valores!#REF!</f>
        <v>#REF!</v>
      </c>
      <c r="X16" s="182" t="s">
        <v>152</v>
      </c>
    </row>
    <row r="17" spans="2:30" x14ac:dyDescent="0.25">
      <c r="B17" s="165" t="s">
        <v>155</v>
      </c>
      <c r="C17" s="255">
        <f>+'MAIZ 1º'!C19</f>
        <v>1.7</v>
      </c>
      <c r="D17" s="695" t="s">
        <v>128</v>
      </c>
      <c r="E17" s="166" t="e">
        <f>+Valores!#REF!</f>
        <v>#REF!</v>
      </c>
      <c r="F17" s="167">
        <f>+Valores!F56</f>
        <v>36.6</v>
      </c>
      <c r="G17" s="168" t="s">
        <v>152</v>
      </c>
      <c r="H17" s="724" t="e">
        <f t="shared" si="0"/>
        <v>#REF!</v>
      </c>
      <c r="I17" s="725">
        <f t="shared" si="1"/>
        <v>93330</v>
      </c>
      <c r="J17" s="171" t="e">
        <f t="shared" si="2"/>
        <v>#REF!</v>
      </c>
      <c r="K17" s="169" t="e">
        <f t="shared" si="3"/>
        <v>#REF!</v>
      </c>
      <c r="L17" s="170" t="e">
        <f t="shared" si="4"/>
        <v>#REF!</v>
      </c>
      <c r="M17" s="171" t="e">
        <f t="shared" si="5"/>
        <v>#REF!</v>
      </c>
      <c r="S17" s="214" t="s">
        <v>156</v>
      </c>
      <c r="T17" s="231">
        <v>300</v>
      </c>
      <c r="U17" s="232" t="s">
        <v>157</v>
      </c>
      <c r="V17" s="188" t="e">
        <f>+Valores!#REF!</f>
        <v>#REF!</v>
      </c>
      <c r="W17" s="189">
        <f>+Valores!F25</f>
        <v>5.44</v>
      </c>
      <c r="X17" s="182" t="s">
        <v>152</v>
      </c>
      <c r="Y17" s="766" t="e">
        <f>T17*V17*J7/1000</f>
        <v>#REF!</v>
      </c>
      <c r="Z17" s="767">
        <f>T17*W17*I5</f>
        <v>0</v>
      </c>
      <c r="AA17" s="193" t="e">
        <f>+Z17/Y17-1</f>
        <v>#REF!</v>
      </c>
      <c r="AB17" s="233" t="e">
        <f>Y17/$C$10</f>
        <v>#REF!</v>
      </c>
      <c r="AC17" s="185" t="e">
        <f>Z17/$D$10</f>
        <v>#REF!</v>
      </c>
      <c r="AD17" s="193" t="e">
        <f>+AC17/AB17-1</f>
        <v>#REF!</v>
      </c>
    </row>
    <row r="18" spans="2:30" x14ac:dyDescent="0.25">
      <c r="B18" s="165" t="s">
        <v>158</v>
      </c>
      <c r="C18" s="736">
        <f>+'MAIZ 1º'!C20</f>
        <v>4</v>
      </c>
      <c r="D18" s="695" t="s">
        <v>85</v>
      </c>
      <c r="E18" s="166" t="e">
        <f>+Valores!#REF!</f>
        <v>#REF!</v>
      </c>
      <c r="F18" s="167" t="e">
        <f>+Valores!#REF!</f>
        <v>#REF!</v>
      </c>
      <c r="G18" s="168" t="s">
        <v>152</v>
      </c>
      <c r="H18" s="724" t="e">
        <f t="shared" si="0"/>
        <v>#REF!</v>
      </c>
      <c r="I18" s="725" t="e">
        <f t="shared" si="1"/>
        <v>#REF!</v>
      </c>
      <c r="J18" s="171" t="e">
        <f t="shared" si="2"/>
        <v>#REF!</v>
      </c>
      <c r="K18" s="169" t="e">
        <f t="shared" si="3"/>
        <v>#REF!</v>
      </c>
      <c r="L18" s="170" t="e">
        <f t="shared" si="4"/>
        <v>#REF!</v>
      </c>
      <c r="M18" s="171" t="e">
        <f t="shared" si="5"/>
        <v>#REF!</v>
      </c>
      <c r="S18" s="214" t="s">
        <v>159</v>
      </c>
      <c r="T18" s="231">
        <v>50</v>
      </c>
      <c r="U18" s="232" t="s">
        <v>157</v>
      </c>
      <c r="V18" s="188" t="e">
        <f>+Valores!#REF!</f>
        <v>#REF!</v>
      </c>
      <c r="W18" s="189" t="e">
        <f>+Valores!#REF!</f>
        <v>#REF!</v>
      </c>
      <c r="X18" s="182" t="s">
        <v>152</v>
      </c>
      <c r="Y18" s="766" t="e">
        <f>T18*V18*J7/1000</f>
        <v>#REF!</v>
      </c>
      <c r="Z18" s="767" t="e">
        <f>T18*W18*I5</f>
        <v>#REF!</v>
      </c>
      <c r="AA18" s="193" t="e">
        <f>+Z18/Y18-1</f>
        <v>#REF!</v>
      </c>
      <c r="AB18" s="233" t="e">
        <f>Y18/$C$10</f>
        <v>#REF!</v>
      </c>
      <c r="AC18" s="185" t="e">
        <f>Z18/$D$10</f>
        <v>#REF!</v>
      </c>
      <c r="AD18" s="193" t="e">
        <f>+AC18/AB18-1</f>
        <v>#REF!</v>
      </c>
    </row>
    <row r="19" spans="2:30" x14ac:dyDescent="0.25">
      <c r="B19" s="165" t="s">
        <v>160</v>
      </c>
      <c r="C19" s="723">
        <f>+'MAIZ 1º'!C33</f>
        <v>0</v>
      </c>
      <c r="D19" s="695" t="s">
        <v>85</v>
      </c>
      <c r="E19" s="166" t="e">
        <f>+Valores!#REF!</f>
        <v>#REF!</v>
      </c>
      <c r="F19" s="167" t="e">
        <f>+Valores!#REF!</f>
        <v>#REF!</v>
      </c>
      <c r="G19" s="168" t="s">
        <v>152</v>
      </c>
      <c r="H19" s="724" t="e">
        <f t="shared" si="0"/>
        <v>#REF!</v>
      </c>
      <c r="I19" s="725" t="e">
        <f t="shared" si="1"/>
        <v>#REF!</v>
      </c>
      <c r="J19" s="171" t="e">
        <f t="shared" si="2"/>
        <v>#REF!</v>
      </c>
      <c r="K19" s="169" t="e">
        <f t="shared" si="3"/>
        <v>#REF!</v>
      </c>
      <c r="L19" s="170" t="e">
        <f t="shared" si="4"/>
        <v>#REF!</v>
      </c>
      <c r="M19" s="171" t="e">
        <f t="shared" si="5"/>
        <v>#REF!</v>
      </c>
    </row>
    <row r="20" spans="2:30" x14ac:dyDescent="0.25">
      <c r="B20" s="165" t="s">
        <v>161</v>
      </c>
      <c r="C20" s="723">
        <v>0</v>
      </c>
      <c r="D20" s="695" t="s">
        <v>128</v>
      </c>
      <c r="E20" s="166" t="e">
        <f>+Valores!#REF!</f>
        <v>#REF!</v>
      </c>
      <c r="F20" s="167">
        <f>+Valores!F30</f>
        <v>21</v>
      </c>
      <c r="G20" s="168" t="s">
        <v>152</v>
      </c>
      <c r="H20" s="724" t="e">
        <f t="shared" si="0"/>
        <v>#REF!</v>
      </c>
      <c r="I20" s="725">
        <f t="shared" si="1"/>
        <v>0</v>
      </c>
      <c r="J20" s="171" t="e">
        <f t="shared" si="2"/>
        <v>#REF!</v>
      </c>
      <c r="K20" s="169" t="e">
        <f t="shared" si="3"/>
        <v>#REF!</v>
      </c>
      <c r="L20" s="170" t="e">
        <f t="shared" si="4"/>
        <v>#REF!</v>
      </c>
      <c r="M20" s="171" t="e">
        <f t="shared" si="5"/>
        <v>#REF!</v>
      </c>
    </row>
    <row r="21" spans="2:30" ht="14.4" customHeight="1" thickBot="1" x14ac:dyDescent="0.3">
      <c r="B21" s="172" t="s">
        <v>162</v>
      </c>
      <c r="C21" s="173"/>
      <c r="D21" s="174"/>
      <c r="E21" s="175" t="e">
        <f>+H21/$J$7</f>
        <v>#REF!</v>
      </c>
      <c r="F21" s="176" t="e">
        <f>+I21/$J$5</f>
        <v>#REF!</v>
      </c>
      <c r="G21" s="177" t="s">
        <v>95</v>
      </c>
      <c r="H21" s="729" t="e">
        <f>SUM(H15:H20)</f>
        <v>#REF!</v>
      </c>
      <c r="I21" s="730" t="e">
        <f>SUM(I15:I20)</f>
        <v>#REF!</v>
      </c>
      <c r="J21" s="180" t="s">
        <v>96</v>
      </c>
      <c r="K21" s="178" t="e">
        <f>SUM(K15:K20)</f>
        <v>#REF!</v>
      </c>
      <c r="L21" s="179" t="e">
        <f>SUM(L15:L20)</f>
        <v>#REF!</v>
      </c>
      <c r="M21" s="180" t="e">
        <f t="shared" si="5"/>
        <v>#REF!</v>
      </c>
    </row>
    <row r="22" spans="2:30" x14ac:dyDescent="0.25">
      <c r="B22" s="181"/>
      <c r="C22" s="731"/>
      <c r="D22" s="182"/>
      <c r="E22" s="732"/>
      <c r="F22" s="733"/>
      <c r="G22" s="183"/>
      <c r="H22" s="734"/>
      <c r="I22" s="735"/>
      <c r="J22" s="186"/>
      <c r="K22" s="184"/>
      <c r="L22" s="185"/>
      <c r="M22" s="186"/>
      <c r="N22" s="244"/>
      <c r="O22" s="244"/>
      <c r="P22" s="244"/>
      <c r="Q22" s="244"/>
      <c r="R22" s="244"/>
      <c r="S22" s="244"/>
      <c r="T22" s="244"/>
      <c r="U22" s="244"/>
      <c r="V22" s="244"/>
      <c r="W22" s="244"/>
      <c r="X22" s="244"/>
      <c r="Y22" s="244"/>
      <c r="Z22" s="244"/>
      <c r="AA22" s="244"/>
      <c r="AB22" s="244"/>
    </row>
    <row r="23" spans="2:30" x14ac:dyDescent="0.25">
      <c r="B23" s="165" t="s">
        <v>97</v>
      </c>
      <c r="C23" s="736">
        <f>+'MAIZ 1º'!C36</f>
        <v>250</v>
      </c>
      <c r="D23" s="695" t="s">
        <v>98</v>
      </c>
      <c r="E23" s="737" t="e">
        <f>+Valores!#REF!</f>
        <v>#REF!</v>
      </c>
      <c r="F23" s="738">
        <f>+Valores!F12</f>
        <v>1040</v>
      </c>
      <c r="G23" s="168" t="s">
        <v>152</v>
      </c>
      <c r="H23" s="724" t="e">
        <f>+E23*C23*$J$7/1000</f>
        <v>#REF!</v>
      </c>
      <c r="I23" s="725">
        <f>+F23*C23*$J$5/1000</f>
        <v>390000</v>
      </c>
      <c r="J23" s="171" t="e">
        <f>+I23/H23-1</f>
        <v>#REF!</v>
      </c>
      <c r="K23" s="169" t="e">
        <f>H23/$C$10</f>
        <v>#REF!</v>
      </c>
      <c r="L23" s="170" t="e">
        <f>I23/$D$10</f>
        <v>#REF!</v>
      </c>
      <c r="M23" s="171" t="e">
        <f>+L23/K23-1</f>
        <v>#REF!</v>
      </c>
      <c r="N23" s="244"/>
      <c r="O23" s="244"/>
      <c r="P23" s="244"/>
      <c r="Q23" s="244"/>
      <c r="R23" s="244"/>
      <c r="S23" s="244"/>
      <c r="T23" s="244"/>
      <c r="U23" s="244"/>
      <c r="V23" s="244"/>
      <c r="W23" s="244"/>
      <c r="X23" s="244"/>
      <c r="Y23" s="244"/>
      <c r="Z23" s="244"/>
      <c r="AA23" s="244"/>
      <c r="AB23" s="244"/>
    </row>
    <row r="24" spans="2:30" x14ac:dyDescent="0.25">
      <c r="B24" s="165" t="s">
        <v>10</v>
      </c>
      <c r="C24" s="736">
        <f>+'MAIZ 1º'!C37</f>
        <v>0</v>
      </c>
      <c r="D24" s="695" t="s">
        <v>98</v>
      </c>
      <c r="E24" s="166" t="e">
        <f>+Valores!#REF!</f>
        <v>#REF!</v>
      </c>
      <c r="F24" s="167">
        <f>+Valores!F11</f>
        <v>970</v>
      </c>
      <c r="G24" s="168" t="s">
        <v>152</v>
      </c>
      <c r="H24" s="724" t="e">
        <f>+E24*C24*$J$7/1000</f>
        <v>#REF!</v>
      </c>
      <c r="I24" s="725">
        <f>+F24*C24*$J$5/1000</f>
        <v>0</v>
      </c>
      <c r="J24" s="171" t="e">
        <f>+I24/H24-1</f>
        <v>#REF!</v>
      </c>
      <c r="K24" s="169" t="e">
        <f>H24/$C$10</f>
        <v>#REF!</v>
      </c>
      <c r="L24" s="170" t="e">
        <f>I24/$D$10</f>
        <v>#REF!</v>
      </c>
      <c r="M24" s="171" t="e">
        <f>+L24/K24-1</f>
        <v>#REF!</v>
      </c>
      <c r="N24" s="244"/>
      <c r="O24" s="244"/>
      <c r="P24" s="244"/>
      <c r="Q24" s="244"/>
      <c r="R24" s="244"/>
      <c r="S24" s="244"/>
      <c r="T24" s="244"/>
      <c r="U24" s="244"/>
      <c r="V24" s="244"/>
      <c r="W24" s="244"/>
      <c r="X24" s="244"/>
      <c r="Y24" s="244"/>
      <c r="Z24" s="244"/>
      <c r="AA24" s="244"/>
      <c r="AB24" s="244"/>
    </row>
    <row r="25" spans="2:30" ht="14.4" customHeight="1" thickBot="1" x14ac:dyDescent="0.3">
      <c r="B25" s="172" t="s">
        <v>163</v>
      </c>
      <c r="C25" s="173"/>
      <c r="D25" s="174"/>
      <c r="E25" s="175" t="e">
        <f>+H25/$J$7</f>
        <v>#REF!</v>
      </c>
      <c r="F25" s="176">
        <f>+I25/$J$5</f>
        <v>260</v>
      </c>
      <c r="G25" s="177" t="s">
        <v>95</v>
      </c>
      <c r="H25" s="729" t="e">
        <f>SUM(H23:H24)</f>
        <v>#REF!</v>
      </c>
      <c r="I25" s="730">
        <f>SUM(I23:I24)</f>
        <v>390000</v>
      </c>
      <c r="J25" s="180" t="s">
        <v>96</v>
      </c>
      <c r="K25" s="178" t="e">
        <f>SUM(K23:K24)</f>
        <v>#REF!</v>
      </c>
      <c r="L25" s="179" t="e">
        <f>SUM(L23:L24)</f>
        <v>#REF!</v>
      </c>
      <c r="M25" s="180" t="e">
        <f>+L25/K25-1</f>
        <v>#REF!</v>
      </c>
    </row>
    <row r="26" spans="2:30" x14ac:dyDescent="0.25">
      <c r="B26" s="181"/>
      <c r="C26" s="187"/>
      <c r="D26" s="182"/>
      <c r="E26" s="188"/>
      <c r="F26" s="189"/>
      <c r="G26" s="183"/>
      <c r="H26" s="734"/>
      <c r="I26" s="735"/>
      <c r="J26" s="186"/>
      <c r="K26" s="184"/>
      <c r="L26" s="185"/>
      <c r="M26" s="186"/>
      <c r="N26" s="244"/>
      <c r="O26" s="244"/>
      <c r="P26" s="244"/>
      <c r="Q26" s="244"/>
      <c r="R26" s="244"/>
      <c r="S26" s="244"/>
      <c r="T26" s="244"/>
      <c r="U26" s="244"/>
      <c r="V26" s="244"/>
      <c r="W26" s="244"/>
      <c r="X26" s="244"/>
      <c r="Y26" s="244"/>
      <c r="Z26" s="244"/>
      <c r="AA26" s="244"/>
      <c r="AB26" s="244"/>
    </row>
    <row r="27" spans="2:30" ht="14.4" customHeight="1" thickBot="1" x14ac:dyDescent="0.3">
      <c r="B27" s="222" t="s">
        <v>164</v>
      </c>
      <c r="C27" s="254">
        <f>+'MAIZ 1º'!C41</f>
        <v>1</v>
      </c>
      <c r="D27" s="223" t="s">
        <v>165</v>
      </c>
      <c r="E27" s="175" t="e">
        <f>+Valores!#REF!</f>
        <v>#REF!</v>
      </c>
      <c r="F27" s="176">
        <f>+Valores!F89</f>
        <v>190</v>
      </c>
      <c r="G27" s="190" t="s">
        <v>166</v>
      </c>
      <c r="H27" s="729" t="e">
        <f>+E27*C27*$J$7</f>
        <v>#REF!</v>
      </c>
      <c r="I27" s="730">
        <f>+F27*C27*$J$5</f>
        <v>285000</v>
      </c>
      <c r="J27" s="191" t="e">
        <f>+I27/H27-1</f>
        <v>#REF!</v>
      </c>
      <c r="K27" s="178" t="e">
        <f>H27/$C$10</f>
        <v>#REF!</v>
      </c>
      <c r="L27" s="179" t="e">
        <f>I27/$D$10</f>
        <v>#REF!</v>
      </c>
      <c r="M27" s="192" t="e">
        <f>+L27/K27-1</f>
        <v>#REF!</v>
      </c>
      <c r="N27" s="244"/>
      <c r="O27" s="244"/>
      <c r="P27" s="244"/>
      <c r="Q27" s="244"/>
      <c r="R27" s="244"/>
      <c r="S27" s="244"/>
      <c r="T27" s="244"/>
      <c r="U27" s="244"/>
      <c r="V27" s="244"/>
      <c r="W27" s="244"/>
      <c r="X27" s="244"/>
      <c r="Y27" s="244"/>
      <c r="Z27" s="244"/>
      <c r="AA27" s="244"/>
      <c r="AB27" s="244"/>
    </row>
    <row r="28" spans="2:30" x14ac:dyDescent="0.25">
      <c r="B28" s="181"/>
      <c r="C28" s="187"/>
      <c r="D28" s="182"/>
      <c r="E28" s="188"/>
      <c r="F28" s="189"/>
      <c r="G28" s="183"/>
      <c r="H28" s="734"/>
      <c r="I28" s="735"/>
      <c r="J28" s="186"/>
      <c r="K28" s="184"/>
      <c r="L28" s="185"/>
      <c r="M28" s="186"/>
      <c r="N28" s="244"/>
      <c r="O28" s="244"/>
      <c r="P28" s="244"/>
      <c r="Q28" s="244"/>
      <c r="R28" s="244"/>
      <c r="S28" s="244"/>
      <c r="T28" s="244"/>
      <c r="U28" s="244"/>
      <c r="V28" s="244"/>
      <c r="W28" s="244"/>
      <c r="X28" s="244"/>
      <c r="Y28" s="244"/>
      <c r="Z28" s="244"/>
      <c r="AA28" s="244"/>
      <c r="AB28" s="244"/>
    </row>
    <row r="29" spans="2:30" x14ac:dyDescent="0.25">
      <c r="B29" s="165" t="s">
        <v>102</v>
      </c>
      <c r="C29" s="255">
        <f>+'MAIZ 1º'!C44</f>
        <v>1</v>
      </c>
      <c r="D29" s="695" t="s">
        <v>103</v>
      </c>
      <c r="E29" s="166" t="e">
        <f>+Valores!#REF!</f>
        <v>#REF!</v>
      </c>
      <c r="F29" s="167">
        <f>+Valores!F110</f>
        <v>55</v>
      </c>
      <c r="G29" s="168" t="s">
        <v>96</v>
      </c>
      <c r="H29" s="724" t="e">
        <f>C29*E29</f>
        <v>#REF!</v>
      </c>
      <c r="I29" s="725">
        <f>C29*F29</f>
        <v>55</v>
      </c>
      <c r="J29" s="171" t="e">
        <f>+I29/H29-1</f>
        <v>#REF!</v>
      </c>
      <c r="K29" s="169" t="e">
        <f>H29/$C$10</f>
        <v>#REF!</v>
      </c>
      <c r="L29" s="170" t="e">
        <f>I29/$D$10</f>
        <v>#REF!</v>
      </c>
      <c r="M29" s="171" t="e">
        <f>+L29/K29-1</f>
        <v>#REF!</v>
      </c>
      <c r="N29" s="244"/>
      <c r="O29" s="244"/>
      <c r="P29" s="244"/>
      <c r="Q29" s="244"/>
      <c r="R29" s="244"/>
      <c r="S29" s="244"/>
      <c r="T29" s="244"/>
      <c r="U29" s="244"/>
      <c r="V29" s="244"/>
      <c r="W29" s="244"/>
      <c r="X29" s="244"/>
      <c r="Y29" s="244"/>
      <c r="Z29" s="244"/>
      <c r="AA29" s="244"/>
      <c r="AB29" s="244"/>
    </row>
    <row r="30" spans="2:30" x14ac:dyDescent="0.25">
      <c r="B30" s="165" t="s">
        <v>46</v>
      </c>
      <c r="C30" s="255">
        <f>+'MAIZ 1º'!C46</f>
        <v>3</v>
      </c>
      <c r="D30" s="695" t="s">
        <v>167</v>
      </c>
      <c r="E30" s="166" t="e">
        <f>+Valores!#REF!</f>
        <v>#REF!</v>
      </c>
      <c r="F30" s="167">
        <f>+Valores!F99</f>
        <v>14</v>
      </c>
      <c r="G30" s="168" t="s">
        <v>96</v>
      </c>
      <c r="H30" s="724" t="e">
        <f>C30*E30</f>
        <v>#REF!</v>
      </c>
      <c r="I30" s="725">
        <f>C30*F30</f>
        <v>42</v>
      </c>
      <c r="J30" s="171" t="e">
        <f>+I30/H30-1</f>
        <v>#REF!</v>
      </c>
      <c r="K30" s="169" t="e">
        <f>H30/$C$10</f>
        <v>#REF!</v>
      </c>
      <c r="L30" s="170" t="e">
        <f>I30/$D$10</f>
        <v>#REF!</v>
      </c>
      <c r="M30" s="171" t="e">
        <f>+L30/K30-1</f>
        <v>#REF!</v>
      </c>
      <c r="N30" s="244"/>
      <c r="O30" s="244"/>
      <c r="P30" s="244"/>
      <c r="Q30" s="244"/>
      <c r="R30" s="244"/>
      <c r="S30" s="244"/>
      <c r="T30" s="244"/>
      <c r="U30" s="244"/>
      <c r="V30" s="244"/>
      <c r="W30" s="244"/>
      <c r="X30" s="244"/>
      <c r="Y30" s="244"/>
      <c r="Z30" s="244"/>
      <c r="AA30" s="244"/>
      <c r="AB30" s="244"/>
    </row>
    <row r="31" spans="2:30" x14ac:dyDescent="0.25">
      <c r="B31" s="165" t="s">
        <v>48</v>
      </c>
      <c r="C31" s="255">
        <f>+'MAIZ 1º'!C47</f>
        <v>0</v>
      </c>
      <c r="D31" s="695" t="s">
        <v>134</v>
      </c>
      <c r="E31" s="166" t="e">
        <f>+Valores!#REF!</f>
        <v>#REF!</v>
      </c>
      <c r="F31" s="167">
        <f>+Valores!F101</f>
        <v>8</v>
      </c>
      <c r="G31" s="168" t="s">
        <v>96</v>
      </c>
      <c r="H31" s="724" t="e">
        <f>C31*E31</f>
        <v>#REF!</v>
      </c>
      <c r="I31" s="725">
        <f>C31*F31</f>
        <v>0</v>
      </c>
      <c r="J31" s="171" t="e">
        <f>+I31/H31-1</f>
        <v>#REF!</v>
      </c>
      <c r="K31" s="169" t="e">
        <f>H31/$C$10</f>
        <v>#REF!</v>
      </c>
      <c r="L31" s="170" t="e">
        <f>I31/$D$10</f>
        <v>#REF!</v>
      </c>
      <c r="M31" s="171" t="e">
        <f>+L31/K31-1</f>
        <v>#REF!</v>
      </c>
      <c r="N31" s="244"/>
      <c r="O31" s="244"/>
      <c r="P31" s="244"/>
      <c r="Q31" s="244"/>
      <c r="R31" s="244"/>
      <c r="S31" s="244"/>
      <c r="T31" s="244"/>
      <c r="U31" s="244"/>
      <c r="V31" s="244"/>
      <c r="W31" s="244"/>
      <c r="X31" s="244"/>
      <c r="Y31" s="244"/>
      <c r="Z31" s="244"/>
      <c r="AA31" s="244"/>
      <c r="AB31" s="244"/>
    </row>
    <row r="32" spans="2:30" ht="14.4" customHeight="1" thickBot="1" x14ac:dyDescent="0.3">
      <c r="B32" s="172" t="s">
        <v>105</v>
      </c>
      <c r="C32" s="173"/>
      <c r="D32" s="174"/>
      <c r="E32" s="175" t="e">
        <f>+H32/$J$7</f>
        <v>#REF!</v>
      </c>
      <c r="F32" s="176">
        <f>+I32/$J$5</f>
        <v>6.4666666666666664E-2</v>
      </c>
      <c r="G32" s="177" t="s">
        <v>95</v>
      </c>
      <c r="H32" s="729" t="e">
        <f>SUM(H29:H31)</f>
        <v>#REF!</v>
      </c>
      <c r="I32" s="730">
        <f>SUM(I29:I31)</f>
        <v>97</v>
      </c>
      <c r="J32" s="180" t="s">
        <v>96</v>
      </c>
      <c r="K32" s="178" t="e">
        <f>SUM(K29:K31)</f>
        <v>#REF!</v>
      </c>
      <c r="L32" s="179" t="e">
        <f>SUM(L29:L31)</f>
        <v>#REF!</v>
      </c>
      <c r="M32" s="180" t="e">
        <f>+L32/K32-1</f>
        <v>#REF!</v>
      </c>
    </row>
    <row r="33" spans="2:28" x14ac:dyDescent="0.25">
      <c r="B33" s="181"/>
      <c r="C33" s="187"/>
      <c r="D33" s="182"/>
      <c r="E33" s="188"/>
      <c r="F33" s="189"/>
      <c r="G33" s="183"/>
      <c r="H33" s="734"/>
      <c r="I33" s="735"/>
      <c r="J33" s="186"/>
      <c r="K33" s="184"/>
      <c r="L33" s="185"/>
      <c r="M33" s="186"/>
    </row>
    <row r="34" spans="2:28" ht="13.95" customHeight="1" x14ac:dyDescent="0.25">
      <c r="B34" s="165" t="s">
        <v>106</v>
      </c>
      <c r="C34" s="255">
        <f>+'MAIZ 1º'!C50</f>
        <v>80</v>
      </c>
      <c r="D34" s="695" t="s">
        <v>107</v>
      </c>
      <c r="E34" s="234" t="e">
        <f>+Valores!#REF!</f>
        <v>#REF!</v>
      </c>
      <c r="F34" s="235" t="e">
        <f>+Valores!#REF!</f>
        <v>#REF!</v>
      </c>
      <c r="G34" s="168" t="s">
        <v>72</v>
      </c>
      <c r="H34" s="768" t="e">
        <f>+E34*C34*C10</f>
        <v>#REF!</v>
      </c>
      <c r="I34" s="769" t="e">
        <f>+F34*C34*D10</f>
        <v>#REF!</v>
      </c>
      <c r="J34" s="171" t="e">
        <f>+I34/H34-1</f>
        <v>#REF!</v>
      </c>
      <c r="K34" s="236" t="e">
        <f>H34/$C$10</f>
        <v>#REF!</v>
      </c>
      <c r="L34" s="237" t="e">
        <f>I34/$D$10</f>
        <v>#REF!</v>
      </c>
      <c r="M34" s="171" t="e">
        <f>+L34/K34-1</f>
        <v>#REF!</v>
      </c>
      <c r="N34" s="238"/>
      <c r="O34" s="238"/>
      <c r="P34" s="238"/>
      <c r="Q34" s="238"/>
      <c r="R34" s="238"/>
      <c r="S34" s="238"/>
      <c r="T34" s="238"/>
      <c r="U34" s="238"/>
      <c r="V34" s="238"/>
      <c r="W34" s="238"/>
      <c r="X34" s="238"/>
      <c r="Y34" s="238"/>
      <c r="Z34" s="238"/>
      <c r="AA34" s="238"/>
      <c r="AB34" s="238"/>
    </row>
    <row r="35" spans="2:28" ht="13.95" customHeight="1" thickBot="1" x14ac:dyDescent="0.3">
      <c r="B35" s="198"/>
      <c r="C35" s="199"/>
      <c r="D35" s="200"/>
      <c r="E35" s="201"/>
      <c r="F35" s="202"/>
      <c r="G35" s="203"/>
      <c r="H35" s="742"/>
      <c r="I35" s="743"/>
      <c r="J35" s="206"/>
      <c r="K35" s="204"/>
      <c r="L35" s="205"/>
      <c r="M35" s="206"/>
      <c r="N35" s="238"/>
      <c r="O35" s="238"/>
      <c r="P35" s="238"/>
      <c r="Q35" s="238"/>
      <c r="R35" s="238"/>
      <c r="S35" s="238"/>
      <c r="T35" s="238"/>
      <c r="U35" s="238"/>
      <c r="V35" s="238"/>
      <c r="W35" s="238"/>
      <c r="X35" s="238"/>
      <c r="Y35" s="238"/>
      <c r="Z35" s="238"/>
      <c r="AA35" s="238"/>
      <c r="AB35" s="238"/>
    </row>
    <row r="36" spans="2:28" ht="16.2" customHeight="1" thickBot="1" x14ac:dyDescent="0.3">
      <c r="B36" s="239" t="s">
        <v>108</v>
      </c>
      <c r="C36" s="240"/>
      <c r="D36" s="240"/>
      <c r="E36" s="770" t="e">
        <f>+H36/J7</f>
        <v>#REF!</v>
      </c>
      <c r="F36" s="770" t="e">
        <f>+I36/J5</f>
        <v>#REF!</v>
      </c>
      <c r="G36" s="241" t="e">
        <f>+F36/E36-1</f>
        <v>#REF!</v>
      </c>
      <c r="H36" s="771" t="e">
        <f>+H21+H25+H27+H32+H34</f>
        <v>#REF!</v>
      </c>
      <c r="I36" s="771" t="e">
        <f>+I21+I25+I27+I32+I34</f>
        <v>#REF!</v>
      </c>
      <c r="J36" s="241" t="e">
        <f>+I36/H36-1</f>
        <v>#REF!</v>
      </c>
      <c r="K36" s="242" t="e">
        <f>+K21+K25+K27+K32+K34</f>
        <v>#REF!</v>
      </c>
      <c r="L36" s="242" t="e">
        <f>+L21+L25+L27+L32+L34</f>
        <v>#REF!</v>
      </c>
      <c r="M36" s="243" t="e">
        <f>+L36/K36-1</f>
        <v>#REF!</v>
      </c>
    </row>
    <row r="37" spans="2:28" x14ac:dyDescent="0.25">
      <c r="L37" s="112"/>
      <c r="M37" s="112"/>
      <c r="N37" s="112"/>
      <c r="O37" s="112"/>
      <c r="P37" s="112"/>
      <c r="Q37" s="112"/>
      <c r="R37" s="112"/>
      <c r="S37" s="112"/>
      <c r="T37" s="112"/>
      <c r="U37" s="112"/>
      <c r="V37" s="112"/>
      <c r="W37" s="112"/>
      <c r="X37" s="112"/>
      <c r="Y37" s="112"/>
      <c r="Z37" s="112"/>
      <c r="AA37" s="112"/>
      <c r="AB37" s="112"/>
    </row>
    <row r="38" spans="2:28" ht="13.95" customHeight="1" thickBot="1" x14ac:dyDescent="0.3">
      <c r="L38" s="112"/>
      <c r="M38" s="112"/>
      <c r="N38" s="112"/>
      <c r="O38" s="112"/>
      <c r="P38" s="112"/>
      <c r="Q38" s="112"/>
      <c r="R38" s="112"/>
      <c r="S38" s="112"/>
      <c r="T38" s="112"/>
      <c r="U38" s="112"/>
      <c r="V38" s="112"/>
      <c r="W38" s="112"/>
      <c r="X38" s="112"/>
      <c r="Y38" s="112"/>
      <c r="Z38" s="112"/>
      <c r="AA38" s="112"/>
      <c r="AB38" s="112"/>
    </row>
    <row r="39" spans="2:28" ht="16.2" customHeight="1" thickBot="1" x14ac:dyDescent="0.3">
      <c r="B39" s="1688" t="s">
        <v>168</v>
      </c>
      <c r="C39" s="1686"/>
      <c r="D39" s="1687"/>
      <c r="M39" s="112"/>
      <c r="N39" s="112"/>
      <c r="O39" s="112"/>
      <c r="P39" s="112"/>
      <c r="Q39" s="112"/>
      <c r="R39" s="112"/>
      <c r="S39" s="112"/>
      <c r="T39" s="112"/>
      <c r="U39" s="112"/>
      <c r="V39" s="112"/>
      <c r="W39" s="112"/>
      <c r="X39" s="112"/>
      <c r="Y39" s="112"/>
      <c r="Z39" s="112"/>
      <c r="AA39" s="112"/>
      <c r="AB39" s="112"/>
    </row>
    <row r="40" spans="2:28" ht="18" customHeight="1" thickTop="1" thickBot="1" x14ac:dyDescent="0.3">
      <c r="B40" s="748" t="e">
        <f>+J40*D10*C40/100</f>
        <v>#REF!</v>
      </c>
      <c r="C40" s="728">
        <f>+'MAIZ 1º'!C56</f>
        <v>8</v>
      </c>
      <c r="D40" s="232" t="s">
        <v>72</v>
      </c>
      <c r="G40" s="246"/>
      <c r="H40" s="247"/>
      <c r="I40" s="248" t="s">
        <v>110</v>
      </c>
      <c r="J40" s="262">
        <f>+'MAIZ 1º'!H56</f>
        <v>115</v>
      </c>
      <c r="M40" s="244"/>
      <c r="N40" s="244"/>
      <c r="O40" s="244"/>
      <c r="P40" s="244"/>
      <c r="Q40" s="244"/>
      <c r="R40" s="244"/>
      <c r="S40" s="244"/>
      <c r="T40" s="244"/>
      <c r="U40" s="244"/>
      <c r="V40" s="244"/>
      <c r="W40" s="244"/>
      <c r="X40" s="244"/>
      <c r="Y40" s="244"/>
      <c r="Z40" s="244"/>
      <c r="AA40" s="244"/>
      <c r="AB40" s="244"/>
    </row>
    <row r="41" spans="2:28" ht="15" customHeight="1" thickTop="1" thickBot="1" x14ac:dyDescent="0.3">
      <c r="G41" s="23"/>
      <c r="H41" s="23"/>
      <c r="I41" s="24" t="s">
        <v>169</v>
      </c>
      <c r="J41" s="25">
        <v>79</v>
      </c>
      <c r="M41" s="244"/>
      <c r="N41" s="772"/>
      <c r="O41" s="244"/>
      <c r="P41" s="244"/>
      <c r="Q41" s="244"/>
      <c r="R41" s="244"/>
      <c r="S41" s="244"/>
      <c r="T41" s="244"/>
      <c r="U41" s="244"/>
      <c r="V41" s="244"/>
      <c r="W41" s="244"/>
      <c r="X41" s="244"/>
      <c r="Y41" s="244"/>
      <c r="Z41" s="244"/>
      <c r="AA41" s="244"/>
      <c r="AB41" s="244"/>
    </row>
    <row r="42" spans="2:28" ht="16.2" customHeight="1" thickBot="1" x14ac:dyDescent="0.3">
      <c r="B42" s="1688" t="s">
        <v>170</v>
      </c>
      <c r="C42" s="1686"/>
      <c r="D42" s="1687"/>
      <c r="G42" s="26"/>
      <c r="H42" s="26"/>
      <c r="I42" s="27" t="s">
        <v>112</v>
      </c>
      <c r="J42" s="268">
        <f>+'MAIZ 1º'!H57</f>
        <v>94.997464546666308</v>
      </c>
      <c r="N42" s="773"/>
    </row>
    <row r="43" spans="2:28" x14ac:dyDescent="0.25">
      <c r="B43" s="187" t="s">
        <v>113</v>
      </c>
      <c r="C43" s="189">
        <f>+'MAIZ 1º'!C59</f>
        <v>500</v>
      </c>
      <c r="D43" s="232" t="s">
        <v>65</v>
      </c>
      <c r="M43" s="244"/>
      <c r="N43" s="772"/>
      <c r="O43" s="244"/>
      <c r="P43" s="244"/>
      <c r="Q43" s="244"/>
      <c r="R43" s="244"/>
      <c r="S43" s="244"/>
      <c r="T43" s="244"/>
      <c r="U43" s="244"/>
      <c r="V43" s="244"/>
      <c r="W43" s="244"/>
      <c r="X43" s="244"/>
      <c r="Y43" s="244"/>
      <c r="Z43" s="244"/>
      <c r="AA43" s="244"/>
      <c r="AB43" s="244"/>
    </row>
    <row r="44" spans="2:28" x14ac:dyDescent="0.25">
      <c r="B44" s="214" t="s">
        <v>115</v>
      </c>
      <c r="C44" s="189">
        <f>+'MAIZ 1º'!C60</f>
        <v>500</v>
      </c>
      <c r="D44" s="232" t="s">
        <v>65</v>
      </c>
      <c r="N44" s="772"/>
    </row>
    <row r="45" spans="2:28" x14ac:dyDescent="0.25">
      <c r="N45" s="773"/>
    </row>
    <row r="46" spans="2:28" ht="13.95" customHeight="1" thickBot="1" x14ac:dyDescent="0.3">
      <c r="N46" s="773"/>
    </row>
    <row r="47" spans="2:28" ht="16.2" customHeight="1" thickBot="1" x14ac:dyDescent="0.3">
      <c r="B47" s="1709" t="s">
        <v>143</v>
      </c>
      <c r="C47" s="1686"/>
      <c r="D47" s="1686"/>
      <c r="E47" s="1686"/>
      <c r="F47" s="1687"/>
      <c r="H47" s="1701"/>
      <c r="I47" s="1699"/>
      <c r="K47" s="1701" t="s">
        <v>171</v>
      </c>
      <c r="L47" s="1699"/>
      <c r="M47" s="244"/>
      <c r="N47" s="244"/>
      <c r="O47" s="244"/>
      <c r="P47" s="244"/>
      <c r="Q47" s="244"/>
      <c r="R47" s="244"/>
      <c r="S47" s="244"/>
      <c r="T47" s="244"/>
      <c r="U47" s="244"/>
      <c r="V47" s="244"/>
      <c r="W47" s="244"/>
      <c r="X47" s="244"/>
      <c r="Y47" s="244"/>
      <c r="Z47" s="244"/>
      <c r="AA47" s="244"/>
      <c r="AB47" s="244"/>
    </row>
    <row r="48" spans="2:28" x14ac:dyDescent="0.25">
      <c r="E48" s="263">
        <f>+F48</f>
        <v>17</v>
      </c>
      <c r="F48" s="456">
        <f>+'MAIZ 1º'!C64</f>
        <v>17</v>
      </c>
      <c r="G48" s="28" t="s">
        <v>144</v>
      </c>
      <c r="H48" s="774" t="e">
        <f>+E48*Sj1º!C5</f>
        <v>#REF!</v>
      </c>
      <c r="I48" s="775">
        <f>+F48*Sj1º!D5</f>
        <v>816000</v>
      </c>
      <c r="J48" s="29" t="s">
        <v>117</v>
      </c>
      <c r="K48" s="84" t="e">
        <f>+H48/C10</f>
        <v>#REF!</v>
      </c>
      <c r="L48" s="84" t="e">
        <f>+I48/D10</f>
        <v>#REF!</v>
      </c>
      <c r="M48" s="30" t="e">
        <f>+L48/K48-1</f>
        <v>#REF!</v>
      </c>
      <c r="N48" s="244"/>
      <c r="O48" s="244"/>
      <c r="P48" s="244"/>
      <c r="Q48" s="244"/>
      <c r="R48" s="244"/>
      <c r="S48" s="244"/>
      <c r="T48" s="244"/>
      <c r="U48" s="244"/>
      <c r="V48" s="244"/>
      <c r="W48" s="244"/>
      <c r="X48" s="244"/>
      <c r="Y48" s="244"/>
      <c r="Z48" s="244"/>
      <c r="AA48" s="244"/>
      <c r="AB48" s="244"/>
    </row>
    <row r="49" spans="2:28" x14ac:dyDescent="0.25">
      <c r="G49" s="80" t="s">
        <v>118</v>
      </c>
      <c r="H49" s="763" t="e">
        <f>+H48/J7</f>
        <v>#REF!</v>
      </c>
      <c r="I49" s="763">
        <f>+I48/J5</f>
        <v>544</v>
      </c>
      <c r="J49" s="81" t="e">
        <f>+I49/H49-1</f>
        <v>#REF!</v>
      </c>
      <c r="M49" s="244"/>
      <c r="N49" s="244"/>
      <c r="O49" s="244"/>
      <c r="P49" s="244"/>
      <c r="Q49" s="244"/>
      <c r="R49" s="244"/>
      <c r="S49" s="244"/>
      <c r="T49" s="244"/>
      <c r="U49" s="244"/>
      <c r="V49" s="244"/>
      <c r="W49" s="244"/>
      <c r="X49" s="244"/>
      <c r="Y49" s="244"/>
      <c r="Z49" s="244"/>
      <c r="AA49" s="244"/>
      <c r="AB49" s="244"/>
    </row>
    <row r="50" spans="2:28" ht="15.6" customHeight="1" x14ac:dyDescent="0.25">
      <c r="H50" s="31"/>
      <c r="I50" s="31"/>
      <c r="K50" s="31"/>
      <c r="L50" s="31"/>
      <c r="M50" s="261"/>
      <c r="N50" s="245"/>
      <c r="O50" s="245"/>
      <c r="P50" s="245"/>
      <c r="Q50" s="245"/>
      <c r="R50" s="245"/>
      <c r="S50" s="245"/>
      <c r="T50" s="245"/>
      <c r="U50" s="245"/>
      <c r="V50" s="245"/>
      <c r="W50" s="245"/>
      <c r="X50" s="245"/>
      <c r="Y50" s="245"/>
      <c r="Z50" s="245"/>
      <c r="AA50" s="245"/>
      <c r="AB50" s="245"/>
    </row>
    <row r="51" spans="2:28" ht="16.2" customHeight="1" thickBot="1" x14ac:dyDescent="0.3">
      <c r="H51" s="31"/>
      <c r="I51" s="31"/>
      <c r="K51" s="1698" t="s">
        <v>171</v>
      </c>
      <c r="L51" s="1699"/>
      <c r="M51" s="261"/>
      <c r="N51" s="245"/>
      <c r="O51" s="245"/>
      <c r="P51" s="245"/>
      <c r="Q51" s="245"/>
      <c r="R51" s="245"/>
      <c r="S51" s="245"/>
      <c r="T51" s="245"/>
      <c r="U51" s="245"/>
      <c r="V51" s="245"/>
      <c r="W51" s="245"/>
      <c r="X51" s="245"/>
      <c r="Y51" s="245"/>
      <c r="Z51" s="245"/>
      <c r="AA51" s="245"/>
      <c r="AB51" s="245"/>
    </row>
    <row r="52" spans="2:28" ht="18.600000000000001" customHeight="1" thickTop="1" thickBot="1" x14ac:dyDescent="0.3">
      <c r="B52" s="1690" t="s">
        <v>172</v>
      </c>
      <c r="C52" s="1691"/>
      <c r="D52" s="1691"/>
      <c r="E52" s="1691"/>
      <c r="F52" s="253" t="e">
        <f>I52/(I48+I36)</f>
        <v>#REF!</v>
      </c>
      <c r="G52" s="95"/>
      <c r="H52" s="764" t="e">
        <f>$J$40*C10*(100-$C$40)/100-H36-H48-($C$43+$C$44)*$J$40</f>
        <v>#REF!</v>
      </c>
      <c r="I52" s="765" t="e">
        <f>$J$40*D10*(100-$C$40)/100-I36-I48-($C$43+$C$44)*$J$40</f>
        <v>#REF!</v>
      </c>
      <c r="J52" s="32" t="s">
        <v>117</v>
      </c>
      <c r="K52" s="83" t="e">
        <f>+H52/C10</f>
        <v>#REF!</v>
      </c>
      <c r="L52" s="83" t="e">
        <f>+I52/D10</f>
        <v>#REF!</v>
      </c>
      <c r="M52" s="33" t="e">
        <f>+L52/K52-1</f>
        <v>#REF!</v>
      </c>
      <c r="N52" s="245"/>
      <c r="O52" s="245"/>
      <c r="P52" s="245"/>
      <c r="Q52" s="245"/>
      <c r="R52" s="245"/>
      <c r="S52" s="245"/>
      <c r="T52" s="245"/>
      <c r="U52" s="245"/>
      <c r="V52" s="245"/>
      <c r="W52" s="245"/>
      <c r="X52" s="245"/>
      <c r="Y52" s="245"/>
      <c r="Z52" s="245"/>
      <c r="AA52" s="245"/>
      <c r="AB52" s="245"/>
    </row>
    <row r="53" spans="2:28" ht="16.2" customHeight="1" thickTop="1" x14ac:dyDescent="0.25">
      <c r="G53" s="37" t="s">
        <v>118</v>
      </c>
      <c r="H53" s="746" t="e">
        <f>+H52/J7</f>
        <v>#REF!</v>
      </c>
      <c r="I53" s="746" t="e">
        <f>+I52/J5</f>
        <v>#REF!</v>
      </c>
      <c r="J53" s="35" t="e">
        <f>+I53/H53-1</f>
        <v>#REF!</v>
      </c>
      <c r="K53" s="82"/>
      <c r="L53" s="82"/>
      <c r="M53" s="261"/>
    </row>
    <row r="54" spans="2:28" ht="14.4" customHeight="1" x14ac:dyDescent="0.25">
      <c r="K54" s="1696"/>
      <c r="L54" s="1697"/>
      <c r="M54" s="244"/>
      <c r="N54" s="244"/>
      <c r="O54" s="244"/>
      <c r="P54" s="244"/>
      <c r="Q54" s="244"/>
      <c r="R54" s="244"/>
      <c r="S54" s="244"/>
      <c r="T54" s="244"/>
      <c r="U54" s="244"/>
      <c r="V54" s="244"/>
      <c r="W54" s="244"/>
      <c r="X54" s="244"/>
      <c r="Y54" s="244"/>
      <c r="Z54" s="244"/>
      <c r="AA54" s="244"/>
      <c r="AB54" s="244"/>
    </row>
    <row r="55" spans="2:28" x14ac:dyDescent="0.25">
      <c r="H55" s="752"/>
    </row>
    <row r="56" spans="2:28" x14ac:dyDescent="0.25">
      <c r="H56" s="752"/>
      <c r="M56" s="244"/>
      <c r="N56" s="244"/>
      <c r="O56" s="244"/>
      <c r="P56" s="244"/>
      <c r="Q56" s="244"/>
      <c r="R56" s="244"/>
      <c r="S56" s="244"/>
      <c r="T56" s="244"/>
      <c r="U56" s="244"/>
      <c r="V56" s="244"/>
      <c r="W56" s="244"/>
      <c r="X56" s="244"/>
      <c r="Y56" s="244"/>
      <c r="Z56" s="244"/>
      <c r="AA56" s="244"/>
      <c r="AB56" s="244"/>
    </row>
    <row r="57" spans="2:28" x14ac:dyDescent="0.25">
      <c r="H57" s="752"/>
    </row>
    <row r="58" spans="2:28" x14ac:dyDescent="0.25">
      <c r="H58" s="752"/>
      <c r="M58" s="245"/>
      <c r="N58" s="245"/>
      <c r="O58" s="245"/>
      <c r="P58" s="245"/>
      <c r="Q58" s="245"/>
      <c r="R58" s="245"/>
      <c r="S58" s="245"/>
      <c r="T58" s="245"/>
      <c r="U58" s="245"/>
      <c r="V58" s="245"/>
      <c r="W58" s="245"/>
      <c r="X58" s="245"/>
      <c r="Y58" s="245"/>
      <c r="Z58" s="245"/>
      <c r="AA58" s="245"/>
      <c r="AB58" s="245"/>
    </row>
    <row r="60" spans="2:28" x14ac:dyDescent="0.25">
      <c r="H60" s="752"/>
      <c r="M60" s="244"/>
      <c r="N60" s="244"/>
      <c r="O60" s="244"/>
      <c r="P60" s="244"/>
      <c r="Q60" s="244"/>
      <c r="R60" s="244"/>
      <c r="S60" s="244"/>
      <c r="T60" s="244"/>
      <c r="U60" s="244"/>
      <c r="V60" s="244"/>
      <c r="W60" s="244"/>
      <c r="X60" s="244"/>
      <c r="Y60" s="244"/>
      <c r="Z60" s="244"/>
      <c r="AA60" s="244"/>
      <c r="AB60" s="244"/>
    </row>
  </sheetData>
  <mergeCells count="13">
    <mergeCell ref="B1:J2"/>
    <mergeCell ref="B7:D7"/>
    <mergeCell ref="C14:D14"/>
    <mergeCell ref="H5:I5"/>
    <mergeCell ref="H7:I7"/>
    <mergeCell ref="K54:L54"/>
    <mergeCell ref="B39:D39"/>
    <mergeCell ref="B42:D42"/>
    <mergeCell ref="B47:F47"/>
    <mergeCell ref="K47:L47"/>
    <mergeCell ref="H47:I47"/>
    <mergeCell ref="B52:E52"/>
    <mergeCell ref="K51:L51"/>
  </mergeCells>
  <printOptions horizontalCentered="1" verticalCentered="1"/>
  <pageMargins left="0.59055118110236227" right="0.39370078740157483" top="0.59055118110236227" bottom="0.59055118110236227" header="0.31496062992125978" footer="0.31496062992125978"/>
  <pageSetup paperSize="9" scale="67" orientation="landscape"/>
  <rowBreaks count="1" manualBreakCount="1">
    <brk id="79" max="10" man="1"/>
  </rowBreaks>
  <colBreaks count="1" manualBreakCount="1">
    <brk id="11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Hoja5">
    <pageSetUpPr fitToPage="1"/>
  </sheetPr>
  <dimension ref="A1:N57"/>
  <sheetViews>
    <sheetView showGridLines="0" workbookViewId="0">
      <selection activeCell="D5" sqref="D5"/>
    </sheetView>
  </sheetViews>
  <sheetFormatPr baseColWidth="10" defaultColWidth="11.44140625" defaultRowHeight="13.2" x14ac:dyDescent="0.25"/>
  <cols>
    <col min="1" max="1" width="5.6640625" style="261" customWidth="1"/>
    <col min="2" max="2" width="40.6640625" style="261" customWidth="1"/>
    <col min="3" max="3" width="7.33203125" style="261" bestFit="1" customWidth="1"/>
    <col min="4" max="4" width="9.6640625" style="261" customWidth="1"/>
    <col min="5" max="7" width="8.6640625" style="261" customWidth="1"/>
    <col min="8" max="8" width="12.109375" style="261" customWidth="1"/>
    <col min="9" max="9" width="11.33203125" style="261" bestFit="1" customWidth="1"/>
    <col min="10" max="10" width="7.44140625" style="261" bestFit="1" customWidth="1"/>
    <col min="11" max="11" width="7.88671875" style="261" customWidth="1"/>
    <col min="12" max="12" width="8.6640625" style="261" customWidth="1"/>
    <col min="13" max="13" width="7.6640625" style="261" bestFit="1" customWidth="1"/>
    <col min="14" max="14" width="13.109375" style="690" bestFit="1" customWidth="1"/>
    <col min="15" max="17" width="11.44140625" style="261" customWidth="1"/>
    <col min="18" max="16384" width="11.44140625" style="261"/>
  </cols>
  <sheetData>
    <row r="1" spans="2:14" ht="12.75" customHeight="1" x14ac:dyDescent="0.25">
      <c r="B1" s="1711" t="s">
        <v>173</v>
      </c>
      <c r="C1" s="1680"/>
      <c r="D1" s="1680"/>
      <c r="E1" s="1680"/>
      <c r="F1" s="1680"/>
      <c r="G1" s="1680"/>
      <c r="H1" s="1680"/>
      <c r="I1" s="1680"/>
      <c r="J1" s="1680"/>
      <c r="K1" s="1680"/>
      <c r="L1" s="1681"/>
      <c r="N1" s="112" t="s">
        <v>120</v>
      </c>
    </row>
    <row r="2" spans="2:14" ht="12.75" customHeight="1" thickBot="1" x14ac:dyDescent="0.3">
      <c r="B2" s="1682"/>
      <c r="C2" s="1683"/>
      <c r="D2" s="1683"/>
      <c r="E2" s="1683"/>
      <c r="F2" s="1683"/>
      <c r="G2" s="1683"/>
      <c r="H2" s="1683"/>
      <c r="I2" s="1683"/>
      <c r="J2" s="1683"/>
      <c r="K2" s="1683"/>
      <c r="L2" s="1684"/>
      <c r="N2" s="690" t="s">
        <v>121</v>
      </c>
    </row>
    <row r="3" spans="2:14" ht="12.75" customHeight="1" x14ac:dyDescent="0.25"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</row>
    <row r="4" spans="2:14" ht="12.75" customHeight="1" x14ac:dyDescent="0.25">
      <c r="B4" s="114"/>
      <c r="C4" s="114"/>
      <c r="D4" s="114"/>
      <c r="E4" s="114"/>
      <c r="F4" s="114"/>
      <c r="G4" s="114"/>
      <c r="H4" s="114"/>
      <c r="I4" s="114"/>
      <c r="N4" s="690" t="s">
        <v>64</v>
      </c>
    </row>
    <row r="5" spans="2:14" ht="13.95" customHeight="1" x14ac:dyDescent="0.25">
      <c r="B5" s="76" t="s">
        <v>64</v>
      </c>
      <c r="C5" s="77" t="e">
        <f>+Valores!#REF!</f>
        <v>#REF!</v>
      </c>
      <c r="D5" s="77">
        <f>+RESUMEN!F4</f>
        <v>48000</v>
      </c>
      <c r="E5" s="78" t="s">
        <v>65</v>
      </c>
      <c r="F5" s="3" t="e">
        <f>+D5/C5-1</f>
        <v>#REF!</v>
      </c>
      <c r="H5" s="1714" t="s">
        <v>66</v>
      </c>
      <c r="I5" s="1693"/>
      <c r="J5" s="4">
        <f>+RESUMEN!Q15</f>
        <v>1500</v>
      </c>
      <c r="K5" s="5" t="s">
        <v>67</v>
      </c>
      <c r="L5" s="6"/>
      <c r="N5" s="690" t="s">
        <v>73</v>
      </c>
    </row>
    <row r="6" spans="2:14" ht="13.95" customHeight="1" thickBot="1" x14ac:dyDescent="0.3">
      <c r="B6" s="712"/>
      <c r="C6" s="712"/>
      <c r="D6" s="712"/>
      <c r="E6" s="712"/>
      <c r="F6" s="712"/>
      <c r="H6" s="712"/>
      <c r="I6" s="712"/>
      <c r="J6" s="448"/>
      <c r="K6" s="115"/>
      <c r="L6" s="115"/>
    </row>
    <row r="7" spans="2:14" ht="17.399999999999999" customHeight="1" thickBot="1" x14ac:dyDescent="0.35">
      <c r="B7" s="1712" t="s">
        <v>68</v>
      </c>
      <c r="C7" s="1686"/>
      <c r="D7" s="1687"/>
      <c r="E7" s="712"/>
      <c r="F7" s="712"/>
      <c r="H7" s="1715" t="s">
        <v>69</v>
      </c>
      <c r="I7" s="1695"/>
      <c r="J7" s="7" t="e">
        <f>+Valores!#REF!</f>
        <v>#REF!</v>
      </c>
      <c r="K7" s="8" t="s">
        <v>67</v>
      </c>
      <c r="L7" s="9"/>
      <c r="N7" s="690" t="s">
        <v>108</v>
      </c>
    </row>
    <row r="8" spans="2:14" x14ac:dyDescent="0.25">
      <c r="B8" s="21" t="s">
        <v>70</v>
      </c>
      <c r="C8" s="75" t="e">
        <f>+Valores!#REF!</f>
        <v>#REF!</v>
      </c>
      <c r="D8" s="75" t="e">
        <f>+Valores!#REF!</f>
        <v>#REF!</v>
      </c>
      <c r="E8" s="715" t="s">
        <v>65</v>
      </c>
      <c r="F8" s="10" t="e">
        <f>+D8/C8-1</f>
        <v>#REF!</v>
      </c>
    </row>
    <row r="9" spans="2:14" x14ac:dyDescent="0.25">
      <c r="B9" s="21" t="s">
        <v>71</v>
      </c>
      <c r="C9" s="116">
        <v>0.03</v>
      </c>
      <c r="D9" s="116">
        <v>0.03</v>
      </c>
      <c r="E9" s="266" t="s">
        <v>72</v>
      </c>
      <c r="F9" s="712"/>
      <c r="N9" s="690" t="s">
        <v>122</v>
      </c>
    </row>
    <row r="10" spans="2:14" x14ac:dyDescent="0.25">
      <c r="B10" s="11" t="s">
        <v>73</v>
      </c>
      <c r="C10" s="12" t="e">
        <f>+C5*(1-C9)-C8</f>
        <v>#REF!</v>
      </c>
      <c r="D10" s="12" t="e">
        <f>+D5*(1-D9)-D8</f>
        <v>#REF!</v>
      </c>
      <c r="E10" s="715" t="s">
        <v>65</v>
      </c>
      <c r="F10" s="13" t="e">
        <f>+D10/C10-1</f>
        <v>#REF!</v>
      </c>
      <c r="N10" s="690" t="s">
        <v>113</v>
      </c>
    </row>
    <row r="11" spans="2:14" x14ac:dyDescent="0.25">
      <c r="F11" s="10"/>
      <c r="N11" s="690" t="s">
        <v>115</v>
      </c>
    </row>
    <row r="12" spans="2:14" ht="13.95" customHeight="1" thickBot="1" x14ac:dyDescent="0.3">
      <c r="F12" s="10"/>
    </row>
    <row r="13" spans="2:14" ht="17.399999999999999" customHeight="1" thickBot="1" x14ac:dyDescent="0.35">
      <c r="B13" s="53" t="s">
        <v>74</v>
      </c>
      <c r="C13" s="703"/>
      <c r="D13" s="704"/>
      <c r="E13" s="43" t="s">
        <v>75</v>
      </c>
      <c r="F13" s="44" t="s">
        <v>75</v>
      </c>
      <c r="G13" s="14"/>
      <c r="H13" s="48" t="s">
        <v>76</v>
      </c>
      <c r="I13" s="49" t="s">
        <v>76</v>
      </c>
      <c r="J13" s="14"/>
      <c r="K13" s="39" t="s">
        <v>77</v>
      </c>
      <c r="L13" s="40" t="s">
        <v>77</v>
      </c>
      <c r="M13" s="712"/>
    </row>
    <row r="14" spans="2:14" ht="14.4" customHeight="1" thickBot="1" x14ac:dyDescent="0.3">
      <c r="B14" s="38" t="s">
        <v>78</v>
      </c>
      <c r="C14" s="1713" t="s">
        <v>79</v>
      </c>
      <c r="D14" s="1687"/>
      <c r="E14" s="45" t="s">
        <v>80</v>
      </c>
      <c r="F14" s="46" t="s">
        <v>81</v>
      </c>
      <c r="G14" s="47" t="s">
        <v>82</v>
      </c>
      <c r="H14" s="50" t="s">
        <v>81</v>
      </c>
      <c r="I14" s="51" t="s">
        <v>83</v>
      </c>
      <c r="J14" s="52" t="s">
        <v>72</v>
      </c>
      <c r="K14" s="41" t="s">
        <v>81</v>
      </c>
      <c r="L14" s="42" t="s">
        <v>83</v>
      </c>
      <c r="M14" s="79" t="s">
        <v>72</v>
      </c>
      <c r="N14" s="690" t="s">
        <v>72</v>
      </c>
    </row>
    <row r="15" spans="2:14" x14ac:dyDescent="0.25">
      <c r="B15" s="62" t="s">
        <v>174</v>
      </c>
      <c r="C15" s="776">
        <f>+'SOJA 1º'!C15</f>
        <v>1</v>
      </c>
      <c r="D15" s="17" t="s">
        <v>85</v>
      </c>
      <c r="E15" s="15" t="e">
        <f>+Valores!#REF!</f>
        <v>#REF!</v>
      </c>
      <c r="F15" s="16">
        <f>+Valores!F17</f>
        <v>45</v>
      </c>
      <c r="G15" s="63" t="s">
        <v>86</v>
      </c>
      <c r="H15" s="777" t="e">
        <f t="shared" ref="H15:H20" si="0">C15*E15*$J$7</f>
        <v>#REF!</v>
      </c>
      <c r="I15" s="778">
        <f t="shared" ref="I15:I20" si="1">+F15*C15*$J$5</f>
        <v>67500</v>
      </c>
      <c r="J15" s="64" t="e">
        <f t="shared" ref="J15:J20" si="2">+I15/H15-1</f>
        <v>#REF!</v>
      </c>
      <c r="K15" s="59" t="e">
        <f t="shared" ref="K15:K20" si="3">H15/$C$10</f>
        <v>#REF!</v>
      </c>
      <c r="L15" s="18" t="e">
        <f t="shared" ref="L15:L20" si="4">I15/$D$10</f>
        <v>#REF!</v>
      </c>
      <c r="M15" s="64" t="e">
        <f t="shared" ref="M15:M20" si="5">+L15/K15-1</f>
        <v>#REF!</v>
      </c>
    </row>
    <row r="16" spans="2:14" x14ac:dyDescent="0.25">
      <c r="B16" s="54" t="s">
        <v>153</v>
      </c>
      <c r="C16" s="779">
        <f>+'SOJA 1º'!C21</f>
        <v>0.04</v>
      </c>
      <c r="D16" s="55" t="s">
        <v>85</v>
      </c>
      <c r="E16" s="56" t="e">
        <f>+Valores!#REF!</f>
        <v>#REF!</v>
      </c>
      <c r="F16" s="20">
        <f>+Valores!F65</f>
        <v>4.3</v>
      </c>
      <c r="G16" s="61" t="s">
        <v>86</v>
      </c>
      <c r="H16" s="777" t="e">
        <f t="shared" si="0"/>
        <v>#REF!</v>
      </c>
      <c r="I16" s="780">
        <f t="shared" si="1"/>
        <v>258</v>
      </c>
      <c r="J16" s="86" t="e">
        <f t="shared" si="2"/>
        <v>#REF!</v>
      </c>
      <c r="K16" s="57" t="e">
        <f t="shared" si="3"/>
        <v>#REF!</v>
      </c>
      <c r="L16" s="22" t="e">
        <f t="shared" si="4"/>
        <v>#REF!</v>
      </c>
      <c r="M16" s="86" t="e">
        <f t="shared" si="5"/>
        <v>#REF!</v>
      </c>
    </row>
    <row r="17" spans="2:14" x14ac:dyDescent="0.25">
      <c r="B17" s="54" t="s">
        <v>155</v>
      </c>
      <c r="C17" s="781">
        <f>+'SOJA 1º'!C29</f>
        <v>0</v>
      </c>
      <c r="D17" s="85" t="s">
        <v>85</v>
      </c>
      <c r="E17" s="56" t="e">
        <f>+Valores!#REF!</f>
        <v>#REF!</v>
      </c>
      <c r="F17" s="20">
        <f>+Valores!F56</f>
        <v>36.6</v>
      </c>
      <c r="G17" s="61" t="s">
        <v>89</v>
      </c>
      <c r="H17" s="777" t="e">
        <f t="shared" si="0"/>
        <v>#REF!</v>
      </c>
      <c r="I17" s="780">
        <f t="shared" si="1"/>
        <v>0</v>
      </c>
      <c r="J17" s="86" t="e">
        <f t="shared" si="2"/>
        <v>#REF!</v>
      </c>
      <c r="K17" s="57" t="e">
        <f t="shared" si="3"/>
        <v>#REF!</v>
      </c>
      <c r="L17" s="22" t="e">
        <f t="shared" si="4"/>
        <v>#REF!</v>
      </c>
      <c r="M17" s="86" t="e">
        <f t="shared" si="5"/>
        <v>#REF!</v>
      </c>
    </row>
    <row r="18" spans="2:14" x14ac:dyDescent="0.25">
      <c r="B18" s="54" t="s">
        <v>175</v>
      </c>
      <c r="C18" s="776">
        <f>+'SOJA 1º'!C40</f>
        <v>0</v>
      </c>
      <c r="D18" s="85" t="s">
        <v>85</v>
      </c>
      <c r="E18" s="15" t="e">
        <f>+Valores!#REF!</f>
        <v>#REF!</v>
      </c>
      <c r="F18" s="16">
        <f>+Valores!F68</f>
        <v>7.8</v>
      </c>
      <c r="G18" s="61" t="s">
        <v>89</v>
      </c>
      <c r="H18" s="777" t="e">
        <f t="shared" si="0"/>
        <v>#REF!</v>
      </c>
      <c r="I18" s="780">
        <f t="shared" si="1"/>
        <v>0</v>
      </c>
      <c r="J18" s="86" t="e">
        <f t="shared" si="2"/>
        <v>#REF!</v>
      </c>
      <c r="K18" s="57" t="e">
        <f t="shared" si="3"/>
        <v>#REF!</v>
      </c>
      <c r="L18" s="22" t="e">
        <f t="shared" si="4"/>
        <v>#REF!</v>
      </c>
      <c r="M18" s="86" t="e">
        <f t="shared" si="5"/>
        <v>#REF!</v>
      </c>
    </row>
    <row r="19" spans="2:14" x14ac:dyDescent="0.25">
      <c r="B19" s="54" t="s">
        <v>176</v>
      </c>
      <c r="C19" s="782">
        <f>+'SOJA 1º'!C35</f>
        <v>0</v>
      </c>
      <c r="D19" s="85" t="s">
        <v>85</v>
      </c>
      <c r="E19" s="15" t="e">
        <f>+Valores!#REF!</f>
        <v>#REF!</v>
      </c>
      <c r="F19" s="16">
        <f>+Valores!F29</f>
        <v>30.5</v>
      </c>
      <c r="G19" s="61" t="s">
        <v>86</v>
      </c>
      <c r="H19" s="777" t="e">
        <f t="shared" si="0"/>
        <v>#REF!</v>
      </c>
      <c r="I19" s="780">
        <f t="shared" si="1"/>
        <v>0</v>
      </c>
      <c r="J19" s="86" t="e">
        <f t="shared" si="2"/>
        <v>#REF!</v>
      </c>
      <c r="K19" s="57" t="e">
        <f t="shared" si="3"/>
        <v>#REF!</v>
      </c>
      <c r="L19" s="22" t="e">
        <f t="shared" si="4"/>
        <v>#REF!</v>
      </c>
      <c r="M19" s="86" t="e">
        <f t="shared" si="5"/>
        <v>#REF!</v>
      </c>
    </row>
    <row r="20" spans="2:14" x14ac:dyDescent="0.25">
      <c r="B20" s="54" t="s">
        <v>177</v>
      </c>
      <c r="C20" s="783">
        <f>+'SOJA 1º'!C44</f>
        <v>0</v>
      </c>
      <c r="D20" s="55" t="s">
        <v>132</v>
      </c>
      <c r="E20" s="15" t="e">
        <f>+Valores!#REF!</f>
        <v>#REF!</v>
      </c>
      <c r="F20" s="16">
        <f>+Valores!F28</f>
        <v>4.5</v>
      </c>
      <c r="G20" s="110" t="s">
        <v>133</v>
      </c>
      <c r="H20" s="777" t="e">
        <f t="shared" si="0"/>
        <v>#REF!</v>
      </c>
      <c r="I20" s="780">
        <f t="shared" si="1"/>
        <v>0</v>
      </c>
      <c r="J20" s="86" t="e">
        <f t="shared" si="2"/>
        <v>#REF!</v>
      </c>
      <c r="K20" s="57" t="e">
        <f t="shared" si="3"/>
        <v>#REF!</v>
      </c>
      <c r="L20" s="22" t="e">
        <f t="shared" si="4"/>
        <v>#REF!</v>
      </c>
      <c r="M20" s="86" t="e">
        <f t="shared" si="5"/>
        <v>#REF!</v>
      </c>
    </row>
    <row r="21" spans="2:14" ht="14.4" customHeight="1" thickBot="1" x14ac:dyDescent="0.3">
      <c r="B21" s="65" t="s">
        <v>94</v>
      </c>
      <c r="C21" s="66"/>
      <c r="D21" s="67"/>
      <c r="E21" s="68" t="e">
        <f>+H21/$J$7</f>
        <v>#REF!</v>
      </c>
      <c r="F21" s="69">
        <f>+I21/$J$5</f>
        <v>45.171999999999997</v>
      </c>
      <c r="G21" s="70" t="s">
        <v>95</v>
      </c>
      <c r="H21" s="784" t="e">
        <f>SUM(H15:H20)</f>
        <v>#REF!</v>
      </c>
      <c r="I21" s="785">
        <f>SUM(I15:I20)</f>
        <v>67758</v>
      </c>
      <c r="J21" s="87" t="s">
        <v>96</v>
      </c>
      <c r="K21" s="71" t="e">
        <f>SUM(K15:K20)</f>
        <v>#REF!</v>
      </c>
      <c r="L21" s="72" t="e">
        <f>SUM(L15:L20)</f>
        <v>#REF!</v>
      </c>
      <c r="M21" s="87" t="s">
        <v>77</v>
      </c>
    </row>
    <row r="22" spans="2:14" x14ac:dyDescent="0.25">
      <c r="B22" s="62"/>
      <c r="C22" s="782"/>
      <c r="D22" s="111"/>
      <c r="E22" s="15"/>
      <c r="F22" s="16"/>
      <c r="G22" s="63"/>
      <c r="H22" s="777"/>
      <c r="I22" s="780"/>
      <c r="J22" s="64"/>
      <c r="K22" s="59"/>
      <c r="L22" s="18"/>
      <c r="M22" s="64"/>
    </row>
    <row r="23" spans="2:14" x14ac:dyDescent="0.25">
      <c r="B23" s="54" t="s">
        <v>178</v>
      </c>
      <c r="C23" s="779">
        <f>+'SOJA 1º'!C47</f>
        <v>70</v>
      </c>
      <c r="D23" s="55" t="s">
        <v>98</v>
      </c>
      <c r="E23" s="56" t="e">
        <f>+Valores!#REF!</f>
        <v>#REF!</v>
      </c>
      <c r="F23" s="20">
        <f>+Valores!F6</f>
        <v>430</v>
      </c>
      <c r="G23" s="61" t="s">
        <v>99</v>
      </c>
      <c r="H23" s="777" t="e">
        <f>C23*E23*$J$7/1000</f>
        <v>#REF!</v>
      </c>
      <c r="I23" s="780">
        <f>+F23*C23*$J$5/1000</f>
        <v>45150</v>
      </c>
      <c r="J23" s="86" t="e">
        <f>+I23/H23-1</f>
        <v>#REF!</v>
      </c>
      <c r="K23" s="57" t="e">
        <f>H23/$C$10</f>
        <v>#REF!</v>
      </c>
      <c r="L23" s="22" t="e">
        <f>I23/$D$10</f>
        <v>#REF!</v>
      </c>
      <c r="M23" s="86" t="e">
        <f>+L23/K23-1</f>
        <v>#REF!</v>
      </c>
    </row>
    <row r="24" spans="2:14" x14ac:dyDescent="0.25">
      <c r="B24" s="54" t="s">
        <v>179</v>
      </c>
      <c r="C24" s="779">
        <f>+'SOJA 1º'!C48</f>
        <v>0</v>
      </c>
      <c r="D24" s="55" t="s">
        <v>98</v>
      </c>
      <c r="E24" s="56">
        <v>0</v>
      </c>
      <c r="F24" s="20">
        <v>0</v>
      </c>
      <c r="G24" s="61" t="s">
        <v>99</v>
      </c>
      <c r="H24" s="777" t="e">
        <f>C24*E24*$J$7/1000</f>
        <v>#REF!</v>
      </c>
      <c r="I24" s="780">
        <f>+F24*C24*$J$5/1000</f>
        <v>0</v>
      </c>
      <c r="J24" s="86" t="e">
        <f>+I24/H24-1</f>
        <v>#REF!</v>
      </c>
      <c r="K24" s="57" t="e">
        <f>H24/$C$10</f>
        <v>#REF!</v>
      </c>
      <c r="L24" s="22" t="e">
        <f>I24/$D$10</f>
        <v>#REF!</v>
      </c>
      <c r="M24" s="86" t="e">
        <f>+L24/K24-1</f>
        <v>#REF!</v>
      </c>
    </row>
    <row r="25" spans="2:14" ht="14.4" customHeight="1" thickBot="1" x14ac:dyDescent="0.3">
      <c r="B25" s="65" t="s">
        <v>100</v>
      </c>
      <c r="C25" s="66"/>
      <c r="D25" s="67"/>
      <c r="E25" s="68" t="e">
        <f>+H25/$J$7</f>
        <v>#REF!</v>
      </c>
      <c r="F25" s="69">
        <f>+I25/$J$5</f>
        <v>30.1</v>
      </c>
      <c r="G25" s="70" t="s">
        <v>95</v>
      </c>
      <c r="H25" s="784" t="e">
        <f>SUM(H23:H24)</f>
        <v>#REF!</v>
      </c>
      <c r="I25" s="785">
        <f>SUM(I23:I24)</f>
        <v>45150</v>
      </c>
      <c r="J25" s="87" t="s">
        <v>96</v>
      </c>
      <c r="K25" s="71" t="e">
        <f>SUM(K23:K24)</f>
        <v>#REF!</v>
      </c>
      <c r="L25" s="72" t="e">
        <f>SUM(L23:L24)</f>
        <v>#REF!</v>
      </c>
      <c r="M25" s="87" t="s">
        <v>77</v>
      </c>
    </row>
    <row r="26" spans="2:14" x14ac:dyDescent="0.25">
      <c r="B26" s="62"/>
      <c r="C26" s="782"/>
      <c r="D26" s="111"/>
      <c r="E26" s="15"/>
      <c r="F26" s="16"/>
      <c r="G26" s="63"/>
      <c r="H26" s="777"/>
      <c r="I26" s="780"/>
      <c r="J26" s="64"/>
      <c r="K26" s="59"/>
      <c r="L26" s="18"/>
      <c r="M26" s="64"/>
    </row>
    <row r="27" spans="2:14" ht="14.4" customHeight="1" thickBot="1" x14ac:dyDescent="0.3">
      <c r="B27" s="54" t="s">
        <v>180</v>
      </c>
      <c r="C27" s="783">
        <f>+'SOJA 1º'!C53</f>
        <v>2</v>
      </c>
      <c r="D27" s="85" t="s">
        <v>181</v>
      </c>
      <c r="E27" s="68" t="e">
        <f>+Valores!#REF!</f>
        <v>#REF!</v>
      </c>
      <c r="F27" s="69">
        <f>+Valores!F88</f>
        <v>38</v>
      </c>
      <c r="G27" s="73" t="s">
        <v>65</v>
      </c>
      <c r="H27" s="784" t="e">
        <f>+E27*C27*J7</f>
        <v>#REF!</v>
      </c>
      <c r="I27" s="785">
        <f>+F27*C27*J5</f>
        <v>114000</v>
      </c>
      <c r="J27" s="74" t="e">
        <f>+I27/H27-1</f>
        <v>#REF!</v>
      </c>
      <c r="K27" s="71" t="e">
        <f>H27/$C$10</f>
        <v>#REF!</v>
      </c>
      <c r="L27" s="72" t="e">
        <f>I27/$D$10</f>
        <v>#REF!</v>
      </c>
      <c r="M27" s="88" t="e">
        <f>+L27/K27-1</f>
        <v>#REF!</v>
      </c>
    </row>
    <row r="28" spans="2:14" x14ac:dyDescent="0.25">
      <c r="B28" s="62"/>
      <c r="C28" s="782"/>
      <c r="D28" s="111"/>
      <c r="E28" s="15"/>
      <c r="F28" s="16"/>
      <c r="G28" s="63"/>
      <c r="H28" s="777"/>
      <c r="I28" s="780"/>
      <c r="J28" s="64"/>
      <c r="K28" s="59"/>
      <c r="L28" s="18"/>
      <c r="M28" s="64"/>
    </row>
    <row r="29" spans="2:14" x14ac:dyDescent="0.25">
      <c r="B29" s="62" t="s">
        <v>182</v>
      </c>
      <c r="C29" s="264">
        <f>+'SOJA 1º'!C56</f>
        <v>1</v>
      </c>
      <c r="D29" s="55" t="s">
        <v>103</v>
      </c>
      <c r="E29" s="15" t="e">
        <f>+Valores!#REF!</f>
        <v>#REF!</v>
      </c>
      <c r="F29" s="16">
        <f>+Valores!F111</f>
        <v>50</v>
      </c>
      <c r="G29" s="110" t="s">
        <v>95</v>
      </c>
      <c r="H29" s="777" t="e">
        <f>C29*E29*$J$7</f>
        <v>#REF!</v>
      </c>
      <c r="I29" s="780">
        <f>+F29*C29*$J$5</f>
        <v>75000</v>
      </c>
      <c r="J29" s="86" t="e">
        <f>+I29/H29-1</f>
        <v>#REF!</v>
      </c>
      <c r="K29" s="57" t="e">
        <f>H29/$C$10</f>
        <v>#REF!</v>
      </c>
      <c r="L29" s="22" t="e">
        <f>I29/$D$10</f>
        <v>#REF!</v>
      </c>
      <c r="M29" s="86" t="e">
        <f>+L29/K29-1</f>
        <v>#REF!</v>
      </c>
    </row>
    <row r="30" spans="2:14" x14ac:dyDescent="0.25">
      <c r="B30" s="62" t="s">
        <v>48</v>
      </c>
      <c r="C30" s="786">
        <f>+'SOJA 1º'!C57</f>
        <v>3</v>
      </c>
      <c r="D30" s="17" t="s">
        <v>183</v>
      </c>
      <c r="E30" s="15" t="e">
        <f>+Valores!#REF!</f>
        <v>#REF!</v>
      </c>
      <c r="F30" s="16">
        <f>+Valores!F101</f>
        <v>8</v>
      </c>
      <c r="G30" s="63" t="s">
        <v>96</v>
      </c>
      <c r="H30" s="777" t="e">
        <f>C30*E30</f>
        <v>#REF!</v>
      </c>
      <c r="I30" s="780">
        <f>+F30*C30</f>
        <v>24</v>
      </c>
      <c r="J30" s="64" t="e">
        <f>+I30/H30-1</f>
        <v>#REF!</v>
      </c>
      <c r="K30" s="57" t="e">
        <f>H30/$C$10</f>
        <v>#REF!</v>
      </c>
      <c r="L30" s="22" t="e">
        <f>I30/$D$10</f>
        <v>#REF!</v>
      </c>
      <c r="M30" s="86" t="e">
        <f>+L30/K30-1</f>
        <v>#REF!</v>
      </c>
    </row>
    <row r="31" spans="2:14" x14ac:dyDescent="0.25">
      <c r="B31" s="54" t="s">
        <v>46</v>
      </c>
      <c r="C31" s="779">
        <f>+'SOJA 1º'!C58</f>
        <v>1</v>
      </c>
      <c r="D31" s="55" t="s">
        <v>167</v>
      </c>
      <c r="E31" s="56" t="e">
        <f>+Valores!#REF!</f>
        <v>#REF!</v>
      </c>
      <c r="F31" s="20">
        <f>+Valores!F99</f>
        <v>14</v>
      </c>
      <c r="G31" s="61" t="s">
        <v>96</v>
      </c>
      <c r="H31" s="777" t="e">
        <f>C31*E31</f>
        <v>#REF!</v>
      </c>
      <c r="I31" s="780">
        <f>+F31*C31</f>
        <v>14</v>
      </c>
      <c r="J31" s="64" t="e">
        <f>+I31/H31-1</f>
        <v>#REF!</v>
      </c>
      <c r="K31" s="57" t="e">
        <f>H31/$C$10</f>
        <v>#REF!</v>
      </c>
      <c r="L31" s="22" t="e">
        <f>I31/$D$10</f>
        <v>#REF!</v>
      </c>
      <c r="M31" s="86" t="e">
        <f>+L31/K31-1</f>
        <v>#REF!</v>
      </c>
    </row>
    <row r="32" spans="2:14" x14ac:dyDescent="0.25">
      <c r="B32" s="54" t="s">
        <v>184</v>
      </c>
      <c r="C32" s="264">
        <f>+'SOJA 1º'!C59</f>
        <v>0</v>
      </c>
      <c r="D32" s="55" t="s">
        <v>167</v>
      </c>
      <c r="E32" s="56" t="e">
        <f>+Valores!#REF!</f>
        <v>#REF!</v>
      </c>
      <c r="F32" s="20">
        <f>+Valores!F100</f>
        <v>14</v>
      </c>
      <c r="G32" s="61" t="s">
        <v>95</v>
      </c>
      <c r="H32" s="787" t="e">
        <f>C32*E32*$J$7</f>
        <v>#REF!</v>
      </c>
      <c r="I32" s="788">
        <f>+F32*C32*$J$5</f>
        <v>0</v>
      </c>
      <c r="J32" s="86" t="e">
        <f>+I32/H32-1</f>
        <v>#REF!</v>
      </c>
      <c r="K32" s="57" t="e">
        <f>H32/$C$10</f>
        <v>#REF!</v>
      </c>
      <c r="L32" s="22" t="e">
        <f>I32/$D$10</f>
        <v>#REF!</v>
      </c>
      <c r="M32" s="86" t="e">
        <f>+L32/K32-1</f>
        <v>#REF!</v>
      </c>
      <c r="N32" s="690" t="s">
        <v>130</v>
      </c>
    </row>
    <row r="33" spans="1:14" ht="14.4" customHeight="1" thickBot="1" x14ac:dyDescent="0.3">
      <c r="B33" s="65" t="s">
        <v>105</v>
      </c>
      <c r="C33" s="66"/>
      <c r="D33" s="67"/>
      <c r="E33" s="68" t="e">
        <f>+H33/$J$7</f>
        <v>#REF!</v>
      </c>
      <c r="F33" s="69">
        <f>+I33/$J$5</f>
        <v>50.025333333333336</v>
      </c>
      <c r="G33" s="70" t="s">
        <v>95</v>
      </c>
      <c r="H33" s="784" t="e">
        <f>SUM(H29:H32)</f>
        <v>#REF!</v>
      </c>
      <c r="I33" s="785">
        <f>SUM(I29:I32)</f>
        <v>75038</v>
      </c>
      <c r="J33" s="87" t="s">
        <v>96</v>
      </c>
      <c r="K33" s="71" t="e">
        <f>SUM(K29:K32)</f>
        <v>#REF!</v>
      </c>
      <c r="L33" s="72" t="e">
        <f>SUM(L29:L32)</f>
        <v>#REF!</v>
      </c>
      <c r="M33" s="87" t="e">
        <f>+L33/K33-1</f>
        <v>#REF!</v>
      </c>
    </row>
    <row r="34" spans="1:14" x14ac:dyDescent="0.25">
      <c r="B34" s="62"/>
      <c r="C34" s="21"/>
      <c r="D34" s="17"/>
      <c r="E34" s="15"/>
      <c r="F34" s="16"/>
      <c r="G34" s="63"/>
      <c r="H34" s="777"/>
      <c r="I34" s="780"/>
      <c r="J34" s="64"/>
      <c r="K34" s="59"/>
      <c r="L34" s="18"/>
      <c r="M34" s="64"/>
    </row>
    <row r="35" spans="1:14" ht="13.95" customHeight="1" x14ac:dyDescent="0.25">
      <c r="B35" s="54" t="s">
        <v>106</v>
      </c>
      <c r="C35" s="265">
        <f>+'SOJA 1º'!C62</f>
        <v>35</v>
      </c>
      <c r="D35" s="55" t="s">
        <v>107</v>
      </c>
      <c r="E35" s="92" t="e">
        <f>+Valores!#REF!</f>
        <v>#REF!</v>
      </c>
      <c r="F35" s="93" t="e">
        <f>+Valores!#REF!</f>
        <v>#REF!</v>
      </c>
      <c r="G35" s="61" t="s">
        <v>72</v>
      </c>
      <c r="H35" s="789" t="e">
        <f>C35*(E35)*C10</f>
        <v>#REF!</v>
      </c>
      <c r="I35" s="790" t="e">
        <f>C35*(F35)*D10</f>
        <v>#REF!</v>
      </c>
      <c r="J35" s="86" t="e">
        <f>+I35/H35-1</f>
        <v>#REF!</v>
      </c>
      <c r="K35" s="58" t="e">
        <f>H35/$C$10</f>
        <v>#REF!</v>
      </c>
      <c r="L35" s="60" t="e">
        <f>I35/$D$10</f>
        <v>#REF!</v>
      </c>
      <c r="M35" s="86" t="e">
        <f>+L35/K35-1</f>
        <v>#REF!</v>
      </c>
    </row>
    <row r="36" spans="1:14" ht="13.95" customHeight="1" thickBot="1" x14ac:dyDescent="0.3">
      <c r="B36" s="54"/>
      <c r="C36" s="779"/>
      <c r="D36" s="55"/>
      <c r="E36" s="56"/>
      <c r="F36" s="20"/>
      <c r="G36" s="61"/>
      <c r="H36" s="787"/>
      <c r="I36" s="788"/>
      <c r="J36" s="86"/>
      <c r="K36" s="57"/>
      <c r="L36" s="22"/>
      <c r="M36" s="86"/>
    </row>
    <row r="37" spans="1:14" ht="16.2" customHeight="1" thickBot="1" x14ac:dyDescent="0.35">
      <c r="A37" s="117"/>
      <c r="B37" s="118" t="s">
        <v>108</v>
      </c>
      <c r="C37" s="119"/>
      <c r="D37" s="119"/>
      <c r="E37" s="791" t="e">
        <f>+H37/J7</f>
        <v>#REF!</v>
      </c>
      <c r="F37" s="791" t="e">
        <f>+I37/J5</f>
        <v>#REF!</v>
      </c>
      <c r="G37" s="120" t="e">
        <f>+F37/E37-1</f>
        <v>#REF!</v>
      </c>
      <c r="H37" s="792" t="e">
        <f>+H21+H25+H33+H27+H35</f>
        <v>#REF!</v>
      </c>
      <c r="I37" s="792" t="e">
        <f>+I21+I25+I33+I27+I35</f>
        <v>#REF!</v>
      </c>
      <c r="J37" s="120" t="e">
        <f>+I37/H37-1</f>
        <v>#REF!</v>
      </c>
      <c r="K37" s="791" t="e">
        <f>+K21+K25+K33+K27+K35</f>
        <v>#REF!</v>
      </c>
      <c r="L37" s="791" t="e">
        <f>+L21+L25+L33+L27+L35</f>
        <v>#REF!</v>
      </c>
      <c r="M37" s="121" t="e">
        <f>+L37/K37-1</f>
        <v>#REF!</v>
      </c>
    </row>
    <row r="38" spans="1:14" x14ac:dyDescent="0.25">
      <c r="H38" s="793"/>
      <c r="I38" s="793"/>
      <c r="J38" s="752"/>
      <c r="N38" s="112" t="s">
        <v>139</v>
      </c>
    </row>
    <row r="39" spans="1:14" ht="13.95" customHeight="1" thickBot="1" x14ac:dyDescent="0.3">
      <c r="H39" s="793"/>
      <c r="I39" s="793"/>
      <c r="J39" s="752"/>
      <c r="N39" s="112"/>
    </row>
    <row r="40" spans="1:14" ht="16.2" customHeight="1" thickBot="1" x14ac:dyDescent="0.35">
      <c r="B40" s="1716" t="s">
        <v>109</v>
      </c>
      <c r="C40" s="1686"/>
      <c r="D40" s="1687"/>
      <c r="N40" s="690" t="s">
        <v>121</v>
      </c>
    </row>
    <row r="41" spans="1:14" ht="18" customHeight="1" thickTop="1" thickBot="1" x14ac:dyDescent="0.3">
      <c r="B41" s="794" t="e">
        <f>+J41*D10*C41/100</f>
        <v>#REF!</v>
      </c>
      <c r="C41" s="795">
        <f>+'SOJA 1º'!C71</f>
        <v>7</v>
      </c>
      <c r="D41" s="266" t="s">
        <v>72</v>
      </c>
      <c r="G41" s="249"/>
      <c r="H41" s="250"/>
      <c r="I41" s="251" t="s">
        <v>110</v>
      </c>
      <c r="J41" s="267">
        <f>+'SOJA 1º'!H71</f>
        <v>45</v>
      </c>
      <c r="N41" s="690" t="s">
        <v>64</v>
      </c>
    </row>
    <row r="42" spans="1:14" ht="15" customHeight="1" thickTop="1" thickBot="1" x14ac:dyDescent="0.3">
      <c r="B42" s="712"/>
      <c r="C42" s="712"/>
      <c r="D42" s="712"/>
      <c r="G42" s="23"/>
      <c r="H42" s="23"/>
      <c r="I42" s="24" t="s">
        <v>169</v>
      </c>
      <c r="J42" s="25">
        <v>33</v>
      </c>
      <c r="N42" s="690" t="s">
        <v>73</v>
      </c>
    </row>
    <row r="43" spans="1:14" ht="16.2" customHeight="1" thickBot="1" x14ac:dyDescent="0.35">
      <c r="B43" s="1717" t="s">
        <v>111</v>
      </c>
      <c r="C43" s="1686"/>
      <c r="D43" s="1687"/>
      <c r="G43" s="26"/>
      <c r="H43" s="26"/>
      <c r="I43" s="27" t="s">
        <v>112</v>
      </c>
      <c r="J43" s="268">
        <f>+'SOJA 1º'!H72</f>
        <v>36.765245724999851</v>
      </c>
    </row>
    <row r="44" spans="1:14" x14ac:dyDescent="0.25">
      <c r="B44" s="21" t="s">
        <v>113</v>
      </c>
      <c r="C44" s="16">
        <f>+'SOJA 1º'!C74</f>
        <v>700</v>
      </c>
      <c r="D44" s="266" t="s">
        <v>65</v>
      </c>
      <c r="K44" s="747"/>
      <c r="L44" s="747"/>
      <c r="N44" s="690" t="s">
        <v>108</v>
      </c>
    </row>
    <row r="45" spans="1:14" x14ac:dyDescent="0.25">
      <c r="B45" s="19" t="s">
        <v>115</v>
      </c>
      <c r="C45" s="16">
        <f>+'SOJA 1º'!C75</f>
        <v>500</v>
      </c>
      <c r="D45" s="266" t="s">
        <v>65</v>
      </c>
    </row>
    <row r="46" spans="1:14" ht="15" customHeight="1" x14ac:dyDescent="0.25"/>
    <row r="47" spans="1:14" ht="15" customHeight="1" thickBot="1" x14ac:dyDescent="0.3"/>
    <row r="48" spans="1:14" ht="16.2" customHeight="1" thickBot="1" x14ac:dyDescent="0.35">
      <c r="B48" s="1718" t="s">
        <v>143</v>
      </c>
      <c r="C48" s="1686"/>
      <c r="D48" s="1686"/>
      <c r="E48" s="1686"/>
      <c r="F48" s="1687"/>
      <c r="G48" s="712"/>
      <c r="H48" s="1720"/>
      <c r="I48" s="1699"/>
      <c r="J48" s="712"/>
      <c r="K48" s="1720" t="s">
        <v>145</v>
      </c>
      <c r="L48" s="1699"/>
      <c r="M48" s="2"/>
      <c r="N48" s="690" t="s">
        <v>113</v>
      </c>
    </row>
    <row r="49" spans="2:14" x14ac:dyDescent="0.25">
      <c r="B49" s="712"/>
      <c r="C49" s="712"/>
      <c r="D49" s="712"/>
      <c r="E49" s="263">
        <f>+F49</f>
        <v>17</v>
      </c>
      <c r="F49" s="456">
        <f>+'SOJA 1º'!C79</f>
        <v>17</v>
      </c>
      <c r="G49" s="28" t="s">
        <v>144</v>
      </c>
      <c r="H49" s="774" t="e">
        <f>+E49*Sj1º!C5</f>
        <v>#REF!</v>
      </c>
      <c r="I49" s="775">
        <f>+F49*Sj1º!D5</f>
        <v>816000</v>
      </c>
      <c r="J49" s="29" t="s">
        <v>117</v>
      </c>
      <c r="K49" s="84" t="e">
        <f>+I49/D10</f>
        <v>#REF!</v>
      </c>
      <c r="L49" s="84" t="e">
        <f>+H49/C10</f>
        <v>#REF!</v>
      </c>
      <c r="M49" s="30" t="e">
        <f>+L49/K49-1</f>
        <v>#REF!</v>
      </c>
      <c r="N49" s="690" t="s">
        <v>115</v>
      </c>
    </row>
    <row r="50" spans="2:14" x14ac:dyDescent="0.25">
      <c r="B50" s="712"/>
      <c r="C50" s="712"/>
      <c r="D50" s="712"/>
      <c r="E50" s="712"/>
      <c r="F50" s="712"/>
      <c r="G50" s="80" t="s">
        <v>118</v>
      </c>
      <c r="H50" s="763" t="e">
        <f>+H49/J7</f>
        <v>#REF!</v>
      </c>
      <c r="I50" s="763">
        <f>+I49/J5</f>
        <v>544</v>
      </c>
      <c r="J50" s="81" t="e">
        <f>+I50/H50-1</f>
        <v>#REF!</v>
      </c>
      <c r="K50" s="712"/>
      <c r="L50" s="1"/>
      <c r="M50" s="2"/>
      <c r="N50" s="690" t="s">
        <v>123</v>
      </c>
    </row>
    <row r="52" spans="2:14" ht="16.2" customHeight="1" thickBot="1" x14ac:dyDescent="0.3">
      <c r="H52" s="31"/>
      <c r="I52" s="31"/>
      <c r="K52" s="1719" t="s">
        <v>145</v>
      </c>
      <c r="L52" s="1699"/>
    </row>
    <row r="53" spans="2:14" ht="18.600000000000001" customHeight="1" thickTop="1" thickBot="1" x14ac:dyDescent="0.3">
      <c r="B53" s="1690" t="s">
        <v>172</v>
      </c>
      <c r="C53" s="1691"/>
      <c r="D53" s="1691"/>
      <c r="E53" s="1691"/>
      <c r="F53" s="96" t="e">
        <f>I53/(I50+I38)</f>
        <v>#REF!</v>
      </c>
      <c r="G53" s="95"/>
      <c r="H53" s="764" t="e">
        <f>+J41*C10*(100-C41)/100-H37-H49-(C44+C45)*J41</f>
        <v>#REF!</v>
      </c>
      <c r="I53" s="765" t="e">
        <f>+J41*D10*(100-C41)/100-I37-I49-(C44+C45)*J41</f>
        <v>#REF!</v>
      </c>
      <c r="J53" s="32" t="s">
        <v>117</v>
      </c>
      <c r="K53" s="83" t="e">
        <f>+H53/C10</f>
        <v>#REF!</v>
      </c>
      <c r="L53" s="83" t="e">
        <f>+I53/D10</f>
        <v>#REF!</v>
      </c>
      <c r="M53" s="33" t="e">
        <f>+L53/K53-1</f>
        <v>#REF!</v>
      </c>
    </row>
    <row r="54" spans="2:14" ht="16.2" customHeight="1" thickTop="1" x14ac:dyDescent="0.25">
      <c r="G54" s="37" t="s">
        <v>118</v>
      </c>
      <c r="H54" s="746" t="e">
        <f>+H53/J7</f>
        <v>#REF!</v>
      </c>
      <c r="I54" s="746" t="e">
        <f>+I53/J5</f>
        <v>#REF!</v>
      </c>
      <c r="J54" s="35" t="e">
        <f>+I54/H54-1</f>
        <v>#REF!</v>
      </c>
      <c r="K54" s="82"/>
      <c r="L54" s="82"/>
    </row>
    <row r="55" spans="2:14" ht="15.6" customHeight="1" x14ac:dyDescent="0.25">
      <c r="H55" s="31"/>
      <c r="I55" s="31"/>
      <c r="K55" s="31"/>
      <c r="L55" s="31"/>
    </row>
    <row r="56" spans="2:14" ht="15.6" customHeight="1" x14ac:dyDescent="0.25">
      <c r="H56" s="31"/>
      <c r="I56" s="31"/>
      <c r="K56" s="31"/>
      <c r="L56" s="31"/>
    </row>
    <row r="57" spans="2:14" ht="15.6" customHeight="1" x14ac:dyDescent="0.25">
      <c r="H57" s="31"/>
      <c r="I57" s="31"/>
      <c r="K57" s="31"/>
      <c r="L57" s="31"/>
    </row>
  </sheetData>
  <mergeCells count="12">
    <mergeCell ref="B53:E53"/>
    <mergeCell ref="B40:D40"/>
    <mergeCell ref="B43:D43"/>
    <mergeCell ref="B48:F48"/>
    <mergeCell ref="K52:L52"/>
    <mergeCell ref="H48:I48"/>
    <mergeCell ref="K48:L48"/>
    <mergeCell ref="B1:L2"/>
    <mergeCell ref="B7:D7"/>
    <mergeCell ref="C14:D14"/>
    <mergeCell ref="H5:I5"/>
    <mergeCell ref="H7:I7"/>
  </mergeCells>
  <printOptions horizontalCentered="1" verticalCentered="1"/>
  <pageMargins left="0.59055118110236227" right="0.59055118110236227" top="0.39370078740157483" bottom="0.39370078740157483" header="0" footer="0"/>
  <pageSetup paperSize="9" scale="66" orientation="landscape"/>
  <colBreaks count="1" manualBreakCount="1">
    <brk id="13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Hoja10">
    <pageSetUpPr fitToPage="1"/>
  </sheetPr>
  <dimension ref="A1:AP124"/>
  <sheetViews>
    <sheetView showGridLines="0" tabSelected="1" zoomScale="90" zoomScaleNormal="90" workbookViewId="0">
      <pane xSplit="5" ySplit="2" topLeftCell="F3" activePane="bottomRight" state="frozen"/>
      <selection activeCell="K31" sqref="K31"/>
      <selection pane="topRight" activeCell="K31" sqref="K31"/>
      <selection pane="bottomLeft" activeCell="K31" sqref="K31"/>
      <selection pane="bottomRight" activeCell="E94" sqref="E94"/>
    </sheetView>
  </sheetViews>
  <sheetFormatPr baseColWidth="10" defaultColWidth="11.44140625" defaultRowHeight="15.6" outlineLevelRow="1" outlineLevelCol="1" x14ac:dyDescent="0.25"/>
  <cols>
    <col min="1" max="1" width="5" style="708" customWidth="1"/>
    <col min="2" max="2" width="9.88671875" style="708" customWidth="1"/>
    <col min="3" max="3" width="10" style="708" customWidth="1"/>
    <col min="4" max="4" width="7" style="708" customWidth="1"/>
    <col min="5" max="5" width="17.6640625" style="708" customWidth="1"/>
    <col min="6" max="6" width="18.109375" style="708" customWidth="1"/>
    <col min="7" max="7" width="16.6640625" style="708" customWidth="1"/>
    <col min="8" max="8" width="17.44140625" style="708" customWidth="1"/>
    <col min="9" max="10" width="14.88671875" style="708" customWidth="1"/>
    <col min="11" max="11" width="14" style="708" customWidth="1" outlineLevel="1"/>
    <col min="12" max="12" width="12.6640625" style="708" customWidth="1" outlineLevel="1"/>
    <col min="13" max="14" width="13.44140625" style="708" customWidth="1" outlineLevel="1"/>
    <col min="15" max="15" width="19.88671875" style="708" customWidth="1" outlineLevel="1"/>
    <col min="16" max="16" width="5.109375" style="708" customWidth="1"/>
    <col min="17" max="17" width="10.88671875" style="708" customWidth="1"/>
    <col min="18" max="18" width="17.33203125" style="708" customWidth="1"/>
    <col min="19" max="19" width="8.33203125" style="708" customWidth="1"/>
    <col min="20" max="20" width="8.88671875" style="708" customWidth="1" outlineLevel="1"/>
    <col min="21" max="22" width="8.44140625" style="708" customWidth="1" outlineLevel="1"/>
    <col min="23" max="24" width="11.6640625" style="708" customWidth="1" outlineLevel="1"/>
    <col min="25" max="25" width="7.6640625" style="662" customWidth="1" outlineLevel="1"/>
    <col min="26" max="26" width="8.88671875" style="662" customWidth="1" outlineLevel="1"/>
    <col min="27" max="27" width="5.6640625" style="662" customWidth="1" outlineLevel="1"/>
    <col min="28" max="28" width="11.44140625" style="662" customWidth="1" outlineLevel="1"/>
    <col min="29" max="29" width="6.33203125" style="662" customWidth="1"/>
    <col min="30" max="35" width="11.44140625" style="662" customWidth="1"/>
    <col min="36" max="38" width="11.44140625" style="708" customWidth="1"/>
    <col min="39" max="16384" width="11.44140625" style="708"/>
  </cols>
  <sheetData>
    <row r="1" spans="1:42" ht="14.25" customHeight="1" thickBot="1" x14ac:dyDescent="0.3">
      <c r="A1" s="1027" t="str">
        <f>IF(B1=0,"bien","MAL")</f>
        <v>bien</v>
      </c>
      <c r="B1" s="1028">
        <f>ROUND(C1,0)</f>
        <v>0</v>
      </c>
      <c r="C1" s="1028">
        <f>SUM('Compra Productor'!D26:J26)</f>
        <v>0</v>
      </c>
      <c r="F1" s="1029"/>
      <c r="G1" s="1030"/>
      <c r="H1" s="1030"/>
      <c r="I1" s="1030"/>
      <c r="J1" s="1030"/>
      <c r="K1" s="1030"/>
      <c r="L1" s="1030"/>
      <c r="M1" s="1030"/>
      <c r="N1" s="1030"/>
      <c r="O1" s="1030"/>
      <c r="T1" s="458" t="s">
        <v>961</v>
      </c>
      <c r="V1" s="459">
        <v>0.105</v>
      </c>
      <c r="W1" s="460" t="s">
        <v>962</v>
      </c>
      <c r="X1" s="460"/>
    </row>
    <row r="2" spans="1:42" ht="29.4" customHeight="1" thickBot="1" x14ac:dyDescent="0.3">
      <c r="B2" s="461" t="s">
        <v>1231</v>
      </c>
      <c r="C2" s="462"/>
      <c r="D2" s="463"/>
      <c r="E2" s="463"/>
      <c r="F2" s="1513" t="s">
        <v>275</v>
      </c>
      <c r="G2" s="601" t="s">
        <v>1214</v>
      </c>
      <c r="H2" s="602" t="s">
        <v>1215</v>
      </c>
      <c r="I2" s="464" t="s">
        <v>278</v>
      </c>
      <c r="J2" s="1478" t="s">
        <v>1235</v>
      </c>
      <c r="K2" s="1479" t="s">
        <v>344</v>
      </c>
      <c r="L2" s="1479" t="s">
        <v>345</v>
      </c>
      <c r="M2" s="1441" t="s">
        <v>346</v>
      </c>
      <c r="N2" s="1478" t="s">
        <v>347</v>
      </c>
      <c r="O2" s="1477" t="s">
        <v>1221</v>
      </c>
      <c r="R2" s="465" t="s">
        <v>335</v>
      </c>
      <c r="S2" s="465" t="s">
        <v>276</v>
      </c>
      <c r="T2" s="465" t="s">
        <v>278</v>
      </c>
      <c r="V2" s="459">
        <v>0.105</v>
      </c>
      <c r="W2" s="460" t="s">
        <v>350</v>
      </c>
      <c r="X2" s="460"/>
      <c r="Y2" s="1031" t="s">
        <v>963</v>
      </c>
      <c r="Z2" s="712"/>
      <c r="AA2" s="712"/>
    </row>
    <row r="3" spans="1:42" ht="12" customHeight="1" x14ac:dyDescent="0.25">
      <c r="F3" s="466"/>
      <c r="G3" s="603"/>
      <c r="H3" s="604"/>
      <c r="I3" s="466"/>
      <c r="J3" s="1505"/>
      <c r="K3" s="466"/>
      <c r="L3" s="466"/>
      <c r="M3" s="466"/>
      <c r="N3" s="1244"/>
      <c r="O3" s="1244"/>
      <c r="R3" s="467">
        <f>-(F5/F4-1)</f>
        <v>9.1833333333333322E-2</v>
      </c>
      <c r="S3" s="467">
        <f>-(G5/G4-1)</f>
        <v>0.1289365079365079</v>
      </c>
      <c r="T3" s="467">
        <f>-(I5/I4-1)</f>
        <v>0.14029824561403503</v>
      </c>
      <c r="V3" s="459">
        <v>0.21</v>
      </c>
      <c r="W3" s="460" t="s">
        <v>349</v>
      </c>
      <c r="X3" s="460"/>
      <c r="Y3" s="1032" t="s">
        <v>964</v>
      </c>
      <c r="Z3" s="1032" t="s">
        <v>152</v>
      </c>
      <c r="AA3" s="1033" t="s">
        <v>965</v>
      </c>
    </row>
    <row r="4" spans="1:42" ht="15.75" customHeight="1" x14ac:dyDescent="0.25">
      <c r="B4" s="468" t="s">
        <v>966</v>
      </c>
      <c r="C4" s="469"/>
      <c r="D4" s="469"/>
      <c r="E4" s="469"/>
      <c r="F4" s="1034">
        <f>Q5*Q13</f>
        <v>48000</v>
      </c>
      <c r="G4" s="1035">
        <f>Q7*Q13</f>
        <v>31500</v>
      </c>
      <c r="H4" s="1036">
        <f>+G4</f>
        <v>31500</v>
      </c>
      <c r="I4" s="1037">
        <f>Q6*Q13</f>
        <v>28500</v>
      </c>
      <c r="J4" s="1037">
        <f>Q8*Q13</f>
        <v>28500</v>
      </c>
      <c r="K4" s="1037">
        <f>Q5*Q13</f>
        <v>48000</v>
      </c>
      <c r="L4" s="1037">
        <f>Q6*Q13</f>
        <v>28500</v>
      </c>
      <c r="M4" s="1430">
        <f>Q9*Q13</f>
        <v>60000</v>
      </c>
      <c r="N4" s="1500">
        <f>Q11*Q13</f>
        <v>90300</v>
      </c>
      <c r="O4" s="1498">
        <f>Q10*Q13</f>
        <v>76500</v>
      </c>
      <c r="Q4" s="709" t="s">
        <v>152</v>
      </c>
      <c r="Y4" s="1038">
        <v>28.5</v>
      </c>
      <c r="Z4" s="1039">
        <f>(380000/1.18)/Y4</f>
        <v>11299.435028248588</v>
      </c>
      <c r="AA4" s="654">
        <f>+Z4/Z8</f>
        <v>0.56497175141242939</v>
      </c>
      <c r="AJ4" s="935"/>
      <c r="AK4" s="935"/>
      <c r="AL4" s="935"/>
      <c r="AM4" s="935"/>
      <c r="AN4" s="935"/>
    </row>
    <row r="5" spans="1:42" ht="15.75" customHeight="1" x14ac:dyDescent="0.25">
      <c r="B5" s="470"/>
      <c r="C5" s="466"/>
      <c r="D5" s="471" t="s">
        <v>967</v>
      </c>
      <c r="E5" s="472"/>
      <c r="F5" s="1040">
        <f>+'SOJA 1º'!D10</f>
        <v>43592</v>
      </c>
      <c r="G5" s="1041">
        <f>+TRIGO!D10</f>
        <v>27438.5</v>
      </c>
      <c r="H5" s="1042">
        <f>+G5</f>
        <v>27438.5</v>
      </c>
      <c r="I5" s="1043">
        <f>+'MAIZ 1º'!D10</f>
        <v>24501.5</v>
      </c>
      <c r="J5" s="1043">
        <f>SORGO!D10</f>
        <v>24501.5</v>
      </c>
      <c r="K5" s="1043">
        <f>+SOJAsobreCS!$D$10</f>
        <v>43592</v>
      </c>
      <c r="L5" s="1043">
        <f>+MAIZsobreCS!$D$10</f>
        <v>24501.5</v>
      </c>
      <c r="M5" s="1668">
        <f>+GIRASOL!$D$10</f>
        <v>55340</v>
      </c>
      <c r="N5" s="1669">
        <f>+MANI!D10</f>
        <v>85003.7</v>
      </c>
      <c r="O5" s="1043">
        <f>+Camelina!$D$10</f>
        <v>71493.5</v>
      </c>
      <c r="Q5" s="1044">
        <v>32</v>
      </c>
      <c r="R5" s="600" t="s">
        <v>969</v>
      </c>
      <c r="U5" s="935"/>
      <c r="V5" s="935"/>
      <c r="W5" s="935">
        <v>46</v>
      </c>
      <c r="Y5" s="1038">
        <f>+Q13</f>
        <v>1500</v>
      </c>
      <c r="Z5" s="1039">
        <f>20000-Z4</f>
        <v>8700.5649717514116</v>
      </c>
      <c r="AA5" s="654">
        <f>+Z5/Z$8</f>
        <v>0.43502824858757055</v>
      </c>
      <c r="AJ5" s="935"/>
      <c r="AK5" s="935"/>
      <c r="AL5" s="935"/>
      <c r="AM5" s="935"/>
      <c r="AN5" s="935"/>
      <c r="AO5" s="935"/>
    </row>
    <row r="6" spans="1:42" ht="15.75" customHeight="1" x14ac:dyDescent="0.25">
      <c r="B6" s="473" t="s">
        <v>968</v>
      </c>
      <c r="C6" s="474"/>
      <c r="D6" s="474"/>
      <c r="E6" s="474"/>
      <c r="F6" s="475">
        <f>+'SOJA 1º'!H72</f>
        <v>36.765245724999851</v>
      </c>
      <c r="G6" s="605">
        <f>+TRIGO!H53</f>
        <v>33.094444965166467</v>
      </c>
      <c r="H6" s="606">
        <f>+TRIGO!H53</f>
        <v>33.094444965166467</v>
      </c>
      <c r="I6" s="476">
        <f>+'MAIZ 1º'!H57</f>
        <v>94.997464546666308</v>
      </c>
      <c r="J6" s="476">
        <f>SORGO!H57</f>
        <v>68.744654941268024</v>
      </c>
      <c r="K6" s="476">
        <f>+SOJAsobreCS!H71</f>
        <v>39.66237407073924</v>
      </c>
      <c r="L6" s="476">
        <f>+MAIZsobreCS!H60</f>
        <v>58.204657705498327</v>
      </c>
      <c r="M6" s="1493">
        <f>+GIRASOL!H62</f>
        <v>30.638232428780189</v>
      </c>
      <c r="N6" s="1499">
        <f>+MANI!H70</f>
        <v>22.624068924031224</v>
      </c>
      <c r="O6" s="1497">
        <f>+Camelina!$H$54</f>
        <v>7.4448440004399634</v>
      </c>
      <c r="Q6" s="1044">
        <v>19</v>
      </c>
      <c r="R6" s="600" t="s">
        <v>970</v>
      </c>
      <c r="U6" s="935"/>
      <c r="V6" s="935"/>
      <c r="Y6" s="1038">
        <v>0</v>
      </c>
      <c r="Z6" s="1039">
        <v>0</v>
      </c>
      <c r="AA6" s="654">
        <f>+Z6/Z$8</f>
        <v>0</v>
      </c>
      <c r="AJ6" s="935"/>
      <c r="AK6" s="935"/>
      <c r="AL6" s="935"/>
      <c r="AM6" s="935"/>
      <c r="AN6" s="935"/>
      <c r="AO6" s="935"/>
    </row>
    <row r="7" spans="1:42" ht="15.75" customHeight="1" x14ac:dyDescent="0.25">
      <c r="B7" s="477"/>
      <c r="C7" s="478"/>
      <c r="D7" s="478"/>
      <c r="E7" s="478"/>
      <c r="F7" s="479"/>
      <c r="G7" s="607">
        <f>+Soja2º!H60</f>
        <v>12.766252040992148</v>
      </c>
      <c r="H7" s="608">
        <f>+'Maíz 2º'!H49</f>
        <v>47.221315291327578</v>
      </c>
      <c r="I7" s="480"/>
      <c r="J7" s="480"/>
      <c r="K7" s="480"/>
      <c r="L7" s="480"/>
      <c r="M7" s="1431"/>
      <c r="N7" s="1496"/>
      <c r="O7" s="1494">
        <f>+Soja2º!H60</f>
        <v>12.766252040992148</v>
      </c>
      <c r="Q7" s="1044">
        <v>21</v>
      </c>
      <c r="R7" s="600" t="s">
        <v>972</v>
      </c>
      <c r="U7" s="935"/>
      <c r="V7" s="935"/>
      <c r="W7" s="459"/>
      <c r="X7" s="459"/>
      <c r="Y7" s="1038">
        <v>0</v>
      </c>
      <c r="Z7" s="1039">
        <v>0</v>
      </c>
      <c r="AA7" s="654">
        <f>+Z7/Z$8</f>
        <v>0</v>
      </c>
      <c r="AJ7" s="935"/>
      <c r="AK7" s="935"/>
      <c r="AL7" s="935"/>
      <c r="AM7" s="935"/>
      <c r="AN7" s="935"/>
      <c r="AO7" s="935"/>
    </row>
    <row r="8" spans="1:42" ht="15.75" customHeight="1" x14ac:dyDescent="0.25">
      <c r="B8" s="481" t="s">
        <v>971</v>
      </c>
      <c r="C8" s="474"/>
      <c r="D8" s="474"/>
      <c r="E8" s="474"/>
      <c r="F8" s="593">
        <v>45</v>
      </c>
      <c r="G8" s="609">
        <v>45</v>
      </c>
      <c r="H8" s="610">
        <f>+G8</f>
        <v>45</v>
      </c>
      <c r="I8" s="594">
        <v>115</v>
      </c>
      <c r="J8" s="594">
        <v>70</v>
      </c>
      <c r="K8" s="594">
        <v>45</v>
      </c>
      <c r="L8" s="594">
        <v>90</v>
      </c>
      <c r="M8" s="1487">
        <v>32</v>
      </c>
      <c r="N8" s="1495">
        <v>35</v>
      </c>
      <c r="O8" s="1492">
        <v>11</v>
      </c>
      <c r="Q8" s="1044">
        <v>19</v>
      </c>
      <c r="R8" s="600" t="s">
        <v>1233</v>
      </c>
      <c r="T8" s="1045"/>
      <c r="U8" s="1045"/>
      <c r="V8" s="1045"/>
      <c r="Y8" s="1031">
        <f>+Y5*AA5+Y4*AA4+Y6*AA6+Y7*AA7</f>
        <v>668.6440677966101</v>
      </c>
      <c r="Z8" s="1046">
        <f>SUM(Z4:Z5)</f>
        <v>20000</v>
      </c>
      <c r="AA8" s="503"/>
      <c r="AJ8" s="935"/>
      <c r="AK8" s="935"/>
      <c r="AL8" s="935"/>
      <c r="AM8" s="935"/>
      <c r="AN8" s="935"/>
      <c r="AO8" s="935"/>
    </row>
    <row r="9" spans="1:42" ht="15.75" customHeight="1" x14ac:dyDescent="0.25">
      <c r="B9" s="482"/>
      <c r="C9" s="478"/>
      <c r="D9" s="478"/>
      <c r="E9" s="478"/>
      <c r="F9" s="483"/>
      <c r="G9" s="611">
        <v>35</v>
      </c>
      <c r="H9" s="612">
        <v>75</v>
      </c>
      <c r="I9" s="484"/>
      <c r="J9" s="484"/>
      <c r="K9" s="484"/>
      <c r="L9" s="484"/>
      <c r="M9" s="1432"/>
      <c r="N9" s="1490"/>
      <c r="O9" s="1488">
        <v>40</v>
      </c>
      <c r="Q9" s="1044">
        <v>40</v>
      </c>
      <c r="R9" s="600" t="s">
        <v>977</v>
      </c>
      <c r="S9" s="1047"/>
      <c r="T9" s="486">
        <f>+I4/F4</f>
        <v>0.59375</v>
      </c>
      <c r="U9" s="487" t="s">
        <v>974</v>
      </c>
      <c r="W9" s="488"/>
      <c r="X9" s="488"/>
      <c r="Y9" s="712"/>
      <c r="Z9" s="712"/>
      <c r="AA9" s="712"/>
      <c r="AJ9" s="935"/>
      <c r="AK9" s="935"/>
      <c r="AL9" s="935"/>
      <c r="AM9" s="935"/>
      <c r="AN9" s="935"/>
      <c r="AO9" s="935"/>
    </row>
    <row r="10" spans="1:42" ht="15.75" customHeight="1" x14ac:dyDescent="0.25">
      <c r="B10" s="489" t="s">
        <v>975</v>
      </c>
      <c r="C10" s="469"/>
      <c r="D10" s="595">
        <v>17</v>
      </c>
      <c r="E10" s="490" t="s">
        <v>976</v>
      </c>
      <c r="F10" s="1048">
        <f t="shared" ref="F10:L10" si="0">+$D$10*$F$4/F5</f>
        <v>18.719031014865113</v>
      </c>
      <c r="G10" s="1049">
        <f t="shared" si="0"/>
        <v>29.739235016491428</v>
      </c>
      <c r="H10" s="1050">
        <f t="shared" si="0"/>
        <v>29.739235016491428</v>
      </c>
      <c r="I10" s="1051">
        <f t="shared" si="0"/>
        <v>33.304083423463872</v>
      </c>
      <c r="J10" s="1051">
        <f t="shared" ref="J10" si="1">+$D$10*$F$4/J5</f>
        <v>33.304083423463872</v>
      </c>
      <c r="K10" s="1051">
        <f t="shared" si="0"/>
        <v>18.719031014865113</v>
      </c>
      <c r="L10" s="1051">
        <f t="shared" si="0"/>
        <v>33.304083423463872</v>
      </c>
      <c r="M10" s="1048">
        <f>+$D$10*$F$4/M5</f>
        <v>14.745211420310806</v>
      </c>
      <c r="N10" s="1489">
        <f>+$D$10*$F$4/N5</f>
        <v>9.5995821358364406</v>
      </c>
      <c r="O10" s="1486">
        <f t="shared" ref="O10" si="2">+$D$10*$F$4/O5</f>
        <v>11.413625014861491</v>
      </c>
      <c r="Q10" s="1044">
        <f>(430+80)/10</f>
        <v>51</v>
      </c>
      <c r="R10" s="600" t="s">
        <v>1222</v>
      </c>
      <c r="T10" s="491">
        <f>+I5/F5</f>
        <v>0.56206414020921269</v>
      </c>
      <c r="U10" s="492" t="s">
        <v>974</v>
      </c>
      <c r="W10" s="488"/>
      <c r="X10" s="488"/>
      <c r="Y10" s="1053" t="s">
        <v>978</v>
      </c>
      <c r="Z10" s="657"/>
      <c r="AA10" s="657"/>
      <c r="AJ10" s="935"/>
      <c r="AK10" s="935"/>
      <c r="AL10" s="935"/>
      <c r="AM10" s="935"/>
      <c r="AN10" s="935"/>
    </row>
    <row r="11" spans="1:42" ht="15.75" customHeight="1" x14ac:dyDescent="0.25">
      <c r="B11" s="493"/>
      <c r="C11" s="494"/>
      <c r="D11" s="495" t="s">
        <v>979</v>
      </c>
      <c r="E11" s="496"/>
      <c r="F11" s="1054">
        <f>+D10*F4/Q15</f>
        <v>544</v>
      </c>
      <c r="G11" s="1055">
        <f>+F11</f>
        <v>544</v>
      </c>
      <c r="H11" s="1056">
        <f>+G11</f>
        <v>544</v>
      </c>
      <c r="I11" s="1057">
        <f>+G11</f>
        <v>544</v>
      </c>
      <c r="J11" s="1057">
        <f>+H11</f>
        <v>544</v>
      </c>
      <c r="K11" s="1057">
        <f t="shared" ref="K11:L11" si="3">+$G$11</f>
        <v>544</v>
      </c>
      <c r="L11" s="1057">
        <f t="shared" si="3"/>
        <v>544</v>
      </c>
      <c r="M11" s="1433">
        <f>+$G$11</f>
        <v>544</v>
      </c>
      <c r="N11" s="1482">
        <f>+G11</f>
        <v>544</v>
      </c>
      <c r="O11" s="1481">
        <f>+N11</f>
        <v>544</v>
      </c>
      <c r="Q11" s="1044">
        <v>60.2</v>
      </c>
      <c r="R11" s="600" t="s">
        <v>973</v>
      </c>
      <c r="T11" s="486">
        <f>+G4/F4</f>
        <v>0.65625</v>
      </c>
      <c r="U11" s="487" t="s">
        <v>980</v>
      </c>
      <c r="Y11" s="1058" t="s">
        <v>981</v>
      </c>
      <c r="Z11" s="1058" t="s">
        <v>982</v>
      </c>
      <c r="AA11" s="1059" t="s">
        <v>965</v>
      </c>
    </row>
    <row r="12" spans="1:42" ht="15.75" customHeight="1" x14ac:dyDescent="0.25">
      <c r="B12" s="497"/>
      <c r="D12" s="498" t="s">
        <v>983</v>
      </c>
      <c r="E12" s="596">
        <v>0</v>
      </c>
      <c r="F12" s="1060">
        <f>+F10*$E$12</f>
        <v>0</v>
      </c>
      <c r="G12" s="1061">
        <f>+F12</f>
        <v>0</v>
      </c>
      <c r="H12" s="1062"/>
      <c r="I12" s="1063">
        <f>+E12*I10</f>
        <v>0</v>
      </c>
      <c r="J12" s="1063">
        <f>+F12*J10</f>
        <v>0</v>
      </c>
      <c r="K12" s="1063">
        <f t="shared" ref="K12:N12" si="4">+K10*$E$12</f>
        <v>0</v>
      </c>
      <c r="L12" s="1063">
        <f t="shared" si="4"/>
        <v>0</v>
      </c>
      <c r="M12" s="1434">
        <f t="shared" si="4"/>
        <v>0</v>
      </c>
      <c r="N12" s="1483">
        <f t="shared" si="4"/>
        <v>0</v>
      </c>
      <c r="O12" s="1485">
        <f>+N12</f>
        <v>0</v>
      </c>
      <c r="T12" s="491">
        <f>+G5/F5</f>
        <v>0.62943888786933377</v>
      </c>
      <c r="U12" s="492" t="s">
        <v>980</v>
      </c>
      <c r="X12" s="1064" t="s">
        <v>984</v>
      </c>
      <c r="Y12" s="1065">
        <v>1007</v>
      </c>
      <c r="Z12" s="1065">
        <v>1500</v>
      </c>
      <c r="AA12" s="655">
        <f>+Z12/Z$18</f>
        <v>0.66666666666666663</v>
      </c>
      <c r="AB12" s="1066">
        <f>+Y12*Z12</f>
        <v>1510500</v>
      </c>
    </row>
    <row r="13" spans="1:42" ht="15.75" customHeight="1" x14ac:dyDescent="0.25">
      <c r="B13" s="489" t="s">
        <v>985</v>
      </c>
      <c r="C13" s="469"/>
      <c r="D13" s="469"/>
      <c r="E13" s="490"/>
      <c r="F13" s="1069">
        <f>SUMIF('SOJA 1º'!$B:$B,"Total G. I. y P.",'SOJA 1º'!$E:$E)</f>
        <v>422.30242399999997</v>
      </c>
      <c r="G13" s="1067">
        <f>+TRIGO!E47+Soja2º!E55</f>
        <v>863.90620000000001</v>
      </c>
      <c r="H13" s="1068">
        <f>+TRIGO!E47+'Maíz 2º'!E44</f>
        <v>1206.84572</v>
      </c>
      <c r="I13" s="1069">
        <f>SUMIF('MAIZ 1º'!$B:$B,"Total G. I. y P.",'MAIZ 1º'!$E:$E)</f>
        <v>825.31752000000006</v>
      </c>
      <c r="J13" s="1069">
        <f>SUMIF(SORGO!$B:$B,"Total G. I. y P.",SORGO!$E:$E)</f>
        <v>489.06626</v>
      </c>
      <c r="K13" s="1069">
        <f>SUMIF(SOJAsobreCS!$B:$B,"Total G. I. y P.",SOJAsobreCS!$E:$E)</f>
        <v>514.36242399999992</v>
      </c>
      <c r="L13" s="1069">
        <f>+MAIZsobreCS!E55</f>
        <v>789.57486249999999</v>
      </c>
      <c r="M13" s="1069">
        <f>SUMIF(GIRASOL!$B:$B,"Total G. I. y P.",GIRASOL!$E:$E)</f>
        <v>495.91879999999998</v>
      </c>
      <c r="N13" s="1480">
        <f>SUMIF(MANI!$B:$B,"Total G. I. y P.",MANI!$E:$E)</f>
        <v>634.34</v>
      </c>
      <c r="O13" s="1484">
        <f>Camelina!$E$49+Soja2º!E55</f>
        <v>644.18599999999992</v>
      </c>
      <c r="Q13" s="1308">
        <v>1500</v>
      </c>
      <c r="R13" s="485" t="s">
        <v>986</v>
      </c>
      <c r="X13" s="1064" t="s">
        <v>984</v>
      </c>
      <c r="Y13" s="1065">
        <v>0</v>
      </c>
      <c r="Z13" s="1065">
        <v>0</v>
      </c>
      <c r="AA13" s="655">
        <f>+Z13/Z$18</f>
        <v>0</v>
      </c>
      <c r="AB13" s="1066"/>
      <c r="AC13" s="687"/>
      <c r="AD13" s="686" t="s">
        <v>987</v>
      </c>
    </row>
    <row r="14" spans="1:42" ht="15.75" customHeight="1" x14ac:dyDescent="0.25">
      <c r="B14" s="493"/>
      <c r="D14" s="501" t="s">
        <v>988</v>
      </c>
      <c r="E14" s="502"/>
      <c r="F14" s="1070">
        <f>+F13/F5*Q15</f>
        <v>14.531419434758671</v>
      </c>
      <c r="G14" s="1071">
        <f>+G13/F5*Q15</f>
        <v>29.726998073040928</v>
      </c>
      <c r="H14" s="1072">
        <f>+H13/H5*Q15</f>
        <v>65.975493558321332</v>
      </c>
      <c r="I14" s="1073">
        <f>+I13/I5*Q15</f>
        <v>50.526550619349841</v>
      </c>
      <c r="J14" s="1073">
        <f>+J13/J5*Q15</f>
        <v>29.940999122502703</v>
      </c>
      <c r="K14" s="1073">
        <f>+K13/K5*$Q$15</f>
        <v>17.69920251422279</v>
      </c>
      <c r="L14" s="1073">
        <f>+L13/L5*$Q$15</f>
        <v>48.338358620900756</v>
      </c>
      <c r="M14" s="1073">
        <f>+M13/M5*$Q$15</f>
        <v>13.441962414166968</v>
      </c>
      <c r="N14" s="1073">
        <f>+N13/N5*$Q$15</f>
        <v>11.193748036850161</v>
      </c>
      <c r="O14" s="1071">
        <f>+O13/F5*Q15</f>
        <v>22.166429620113778</v>
      </c>
      <c r="Q14" s="1074">
        <v>3400</v>
      </c>
      <c r="R14" s="624" t="s">
        <v>1234</v>
      </c>
      <c r="U14" s="503"/>
      <c r="V14" s="503"/>
      <c r="X14" s="1064" t="s">
        <v>984</v>
      </c>
      <c r="Y14" s="1065">
        <v>0</v>
      </c>
      <c r="Z14" s="1065">
        <v>0</v>
      </c>
      <c r="AA14" s="655">
        <f>+Z14/Z$18</f>
        <v>0</v>
      </c>
    </row>
    <row r="15" spans="1:42" ht="15.75" customHeight="1" thickBot="1" x14ac:dyDescent="0.3">
      <c r="B15" s="493"/>
      <c r="D15" s="498" t="s">
        <v>989</v>
      </c>
      <c r="E15" s="596">
        <v>0</v>
      </c>
      <c r="F15" s="1060">
        <f>+F13*E15</f>
        <v>0</v>
      </c>
      <c r="G15" s="1075">
        <f>+E15*G13</f>
        <v>0</v>
      </c>
      <c r="H15" s="1076">
        <f>+E15*H13</f>
        <v>0</v>
      </c>
      <c r="I15" s="1063">
        <f>+$E$15*I13</f>
        <v>0</v>
      </c>
      <c r="J15" s="1063">
        <f>+$E$15*J13</f>
        <v>0</v>
      </c>
      <c r="K15" s="1063">
        <f t="shared" ref="K15:N15" si="5">+$E$15*K13</f>
        <v>0</v>
      </c>
      <c r="L15" s="1063">
        <f t="shared" si="5"/>
        <v>0</v>
      </c>
      <c r="M15" s="1063">
        <f t="shared" si="5"/>
        <v>0</v>
      </c>
      <c r="N15" s="1063">
        <f t="shared" si="5"/>
        <v>0</v>
      </c>
      <c r="O15" s="1075">
        <f>+E15*O13</f>
        <v>0</v>
      </c>
      <c r="Q15" s="1308">
        <v>1500</v>
      </c>
      <c r="R15" s="485" t="s">
        <v>990</v>
      </c>
      <c r="X15" s="1064" t="s">
        <v>984</v>
      </c>
      <c r="Y15" s="1065">
        <v>0</v>
      </c>
      <c r="Z15" s="1065">
        <v>0</v>
      </c>
      <c r="AA15" s="655">
        <f>+Z15/Z$18</f>
        <v>0</v>
      </c>
      <c r="AK15" s="935"/>
      <c r="AL15" s="935"/>
      <c r="AM15" s="935"/>
      <c r="AN15" s="935"/>
      <c r="AO15" s="935"/>
      <c r="AP15" s="1052"/>
    </row>
    <row r="16" spans="1:42" ht="21.75" customHeight="1" thickBot="1" x14ac:dyDescent="0.3">
      <c r="B16" s="505"/>
      <c r="C16" s="506"/>
      <c r="D16" s="506"/>
      <c r="E16" s="507" t="s">
        <v>991</v>
      </c>
      <c r="F16" s="1077">
        <f>+'Compra Productor'!D25</f>
        <v>213.91437599999995</v>
      </c>
      <c r="G16" s="1078">
        <f>+'Compra Productor'!F25</f>
        <v>220.27133333333325</v>
      </c>
      <c r="H16" s="1079">
        <f>+'Compra Productor'!H25</f>
        <v>36.625879999999825</v>
      </c>
      <c r="I16" s="1079">
        <f>+'Compra Productor'!J25</f>
        <v>282.18827999999962</v>
      </c>
      <c r="J16" s="1079">
        <f>'Compra Productor'!L25</f>
        <v>18.864806666666539</v>
      </c>
      <c r="K16" s="1079">
        <f>+'Compra Productor'!N25</f>
        <v>142.2267760000002</v>
      </c>
      <c r="L16" s="1079">
        <f>+'Compra Productor'!P25</f>
        <v>19.358387499999822</v>
      </c>
      <c r="M16" s="1079">
        <f>+'Compra Productor'!R25</f>
        <v>46.220933333333221</v>
      </c>
      <c r="N16" s="1079">
        <f>+'Compra Productor'!T25</f>
        <v>644.42276000000027</v>
      </c>
      <c r="O16" s="1078">
        <f>+'Compra Productor'!V25</f>
        <v>310.64245333333338</v>
      </c>
      <c r="Q16" s="1080">
        <v>18000</v>
      </c>
      <c r="R16" s="499" t="s">
        <v>992</v>
      </c>
      <c r="X16" s="1064" t="s">
        <v>993</v>
      </c>
      <c r="Y16" s="1065">
        <f>+Q5*Q13</f>
        <v>48000</v>
      </c>
      <c r="Z16" s="1065">
        <v>1842</v>
      </c>
      <c r="AA16" s="655">
        <f>+Z16/Z$18</f>
        <v>0.81866666666666665</v>
      </c>
      <c r="AB16" s="1066">
        <f>+Y16*Z16</f>
        <v>88416000</v>
      </c>
      <c r="AK16" s="935"/>
      <c r="AL16" s="935"/>
      <c r="AM16" s="935"/>
      <c r="AN16" s="935"/>
      <c r="AO16" s="935"/>
      <c r="AP16" s="1052"/>
    </row>
    <row r="17" spans="2:42" ht="18.75" customHeight="1" x14ac:dyDescent="0.25">
      <c r="B17" s="509"/>
      <c r="C17" s="509"/>
      <c r="D17" s="509"/>
      <c r="E17" s="510" t="s">
        <v>994</v>
      </c>
      <c r="F17" s="1491">
        <f t="shared" ref="F17:O17" si="6">+F16*$Q$15/$F$5</f>
        <v>7.3607901449807285</v>
      </c>
      <c r="G17" s="1491">
        <f t="shared" si="6"/>
        <v>7.5795329418241852</v>
      </c>
      <c r="H17" s="1491">
        <f t="shared" si="6"/>
        <v>1.2602959258579496</v>
      </c>
      <c r="I17" s="1491">
        <f t="shared" si="6"/>
        <v>9.7100940539548422</v>
      </c>
      <c r="J17" s="1491">
        <f t="shared" si="6"/>
        <v>0.64913768581390641</v>
      </c>
      <c r="K17" s="1491">
        <f t="shared" si="6"/>
        <v>4.8940210130299207</v>
      </c>
      <c r="L17" s="1491">
        <f t="shared" si="6"/>
        <v>0.66612179413653272</v>
      </c>
      <c r="M17" s="1491">
        <f t="shared" si="6"/>
        <v>1.5904615525784509</v>
      </c>
      <c r="N17" s="1491">
        <f t="shared" si="6"/>
        <v>22.174576527803275</v>
      </c>
      <c r="O17" s="1491">
        <f t="shared" si="6"/>
        <v>10.689201688383191</v>
      </c>
      <c r="Q17" s="500">
        <f>(AVERAGE(F16:I16)+AVERAGE(F11:I11))/(Q16*(1+AC13))</f>
        <v>4.0680553740740734E-2</v>
      </c>
      <c r="R17" s="500" t="s">
        <v>995</v>
      </c>
      <c r="S17" s="1052"/>
      <c r="X17" s="1064" t="s">
        <v>360</v>
      </c>
      <c r="Y17" s="1065">
        <f>+Y16</f>
        <v>48000</v>
      </c>
      <c r="Z17" s="1065">
        <f>+Z18*0.09</f>
        <v>202.5</v>
      </c>
      <c r="AB17" s="1066">
        <f>+Y17*Z17</f>
        <v>9720000</v>
      </c>
      <c r="AK17" s="935"/>
      <c r="AL17" s="935"/>
      <c r="AM17" s="935"/>
      <c r="AN17" s="935"/>
      <c r="AO17" s="935"/>
      <c r="AP17" s="1052"/>
    </row>
    <row r="18" spans="2:42" ht="18.75" customHeight="1" x14ac:dyDescent="0.25">
      <c r="B18" s="512"/>
      <c r="C18" s="512"/>
      <c r="D18" s="512"/>
      <c r="E18" s="513" t="s">
        <v>996</v>
      </c>
      <c r="F18" s="660">
        <f t="shared" ref="F18:O18" si="7">IF($D10=0,(F16/($Q$16*(1+$AC$13))),(F16/(F11+F13)))</f>
        <v>0.221374148182826</v>
      </c>
      <c r="G18" s="660">
        <f t="shared" si="7"/>
        <v>0.15645313113425685</v>
      </c>
      <c r="H18" s="660">
        <f t="shared" si="7"/>
        <v>2.0918964807475911E-2</v>
      </c>
      <c r="I18" s="660">
        <f t="shared" si="7"/>
        <v>0.20607950740307449</v>
      </c>
      <c r="J18" s="660">
        <f t="shared" si="7"/>
        <v>1.8260984214765213E-2</v>
      </c>
      <c r="K18" s="660">
        <f t="shared" si="7"/>
        <v>0.13438381104127353</v>
      </c>
      <c r="L18" s="660">
        <f t="shared" si="7"/>
        <v>1.4516161067785438E-2</v>
      </c>
      <c r="M18" s="660">
        <f t="shared" si="7"/>
        <v>4.4446675387860304E-2</v>
      </c>
      <c r="N18" s="660">
        <f t="shared" si="7"/>
        <v>0.54689033725410341</v>
      </c>
      <c r="O18" s="660">
        <f t="shared" si="7"/>
        <v>0.26144261364242077</v>
      </c>
      <c r="Q18" s="500">
        <f>+F11/Q16</f>
        <v>3.0222222222222223E-2</v>
      </c>
      <c r="R18" s="500" t="s">
        <v>997</v>
      </c>
      <c r="T18" s="935"/>
      <c r="U18" s="504"/>
      <c r="V18" s="504"/>
      <c r="X18" s="1081" t="s">
        <v>998</v>
      </c>
      <c r="Y18" s="1082"/>
      <c r="Z18" s="1082">
        <f>+F8*F78</f>
        <v>2250</v>
      </c>
      <c r="AA18" s="656"/>
      <c r="AJ18" s="1029"/>
      <c r="AK18" s="935"/>
      <c r="AL18" s="935"/>
      <c r="AM18" s="935"/>
      <c r="AN18" s="935"/>
      <c r="AO18" s="935"/>
      <c r="AP18" s="1052"/>
    </row>
    <row r="19" spans="2:42" ht="18.75" customHeight="1" x14ac:dyDescent="0.25">
      <c r="B19" s="509"/>
      <c r="C19" s="509"/>
      <c r="D19" s="509"/>
      <c r="E19" s="658"/>
      <c r="F19" s="659">
        <f t="shared" ref="F19:N19" si="8">+F18/10*12</f>
        <v>0.26564897781939117</v>
      </c>
      <c r="G19" s="659">
        <f t="shared" si="8"/>
        <v>0.18774375736110824</v>
      </c>
      <c r="H19" s="659">
        <f t="shared" si="8"/>
        <v>2.5102757768971095E-2</v>
      </c>
      <c r="I19" s="659">
        <f t="shared" si="8"/>
        <v>0.24729540888368937</v>
      </c>
      <c r="J19" s="659">
        <f t="shared" ref="J19" si="9">+J18/10*12</f>
        <v>2.1913181057718258E-2</v>
      </c>
      <c r="K19" s="659">
        <f t="shared" ref="K19" si="10">+K18/10*12</f>
        <v>0.16126057324952825</v>
      </c>
      <c r="L19" s="659">
        <f t="shared" ref="L19" si="11">+L18/10*12</f>
        <v>1.7419393281342527E-2</v>
      </c>
      <c r="M19" s="659">
        <f t="shared" si="8"/>
        <v>5.3336010465432369E-2</v>
      </c>
      <c r="N19" s="659">
        <f t="shared" si="8"/>
        <v>0.65626840470492409</v>
      </c>
      <c r="O19" s="659">
        <f t="shared" ref="O19" si="12">+O18/10*12</f>
        <v>0.31373113637090488</v>
      </c>
      <c r="T19" s="935"/>
      <c r="U19" s="504"/>
      <c r="V19" s="504"/>
      <c r="X19" s="1064" t="s">
        <v>999</v>
      </c>
      <c r="Y19" s="1065">
        <f>+Y17</f>
        <v>48000</v>
      </c>
      <c r="Z19" s="1065">
        <f>Z18-SUM(Z12:Z17)</f>
        <v>-1294.5</v>
      </c>
      <c r="AA19" s="712"/>
      <c r="AB19" s="1066">
        <f>+Y19*Z19</f>
        <v>-62136000</v>
      </c>
      <c r="AJ19" s="1029"/>
      <c r="AK19" s="935"/>
      <c r="AL19" s="935"/>
      <c r="AM19" s="935"/>
      <c r="AN19" s="935"/>
      <c r="AO19" s="935"/>
      <c r="AP19" s="1052"/>
    </row>
    <row r="20" spans="2:42" ht="18.75" hidden="1" customHeight="1" outlineLevel="1" x14ac:dyDescent="0.25">
      <c r="B20" s="514"/>
      <c r="C20" s="514"/>
      <c r="D20" s="514"/>
      <c r="E20" s="1083" t="s">
        <v>1000</v>
      </c>
      <c r="F20" s="1084">
        <f>SUM(F16:I16)/3</f>
        <v>250.99995644444422</v>
      </c>
      <c r="G20" s="515" t="s">
        <v>1001</v>
      </c>
      <c r="H20" s="515"/>
      <c r="I20" s="1085"/>
      <c r="J20" s="1085"/>
      <c r="K20" s="1085"/>
      <c r="L20" s="1085"/>
      <c r="M20" s="1085"/>
      <c r="N20" s="1085"/>
      <c r="O20" s="515" t="s">
        <v>1001</v>
      </c>
      <c r="Q20" s="508">
        <f>+I16/F16-1</f>
        <v>0.31916463622809377</v>
      </c>
      <c r="R20" s="1086" t="str">
        <f>IF(Q20&gt;0,"a favor Maíz","en contra Maíz")</f>
        <v>a favor Maíz</v>
      </c>
      <c r="S20" s="1052"/>
      <c r="T20" s="935"/>
      <c r="U20" s="935"/>
      <c r="V20" s="935"/>
      <c r="Y20" s="1087">
        <f>+AB20/Z20</f>
        <v>16671.333333333332</v>
      </c>
      <c r="Z20" s="1082">
        <f>+Z18</f>
        <v>2250</v>
      </c>
      <c r="AB20" s="1088">
        <f>SUM(AB12:AB19)</f>
        <v>37510500</v>
      </c>
      <c r="AK20" s="935"/>
      <c r="AL20" s="935"/>
      <c r="AM20" s="935"/>
      <c r="AN20" s="935"/>
      <c r="AO20" s="935"/>
      <c r="AP20" s="1052"/>
    </row>
    <row r="21" spans="2:42" ht="17.399999999999999" hidden="1" customHeight="1" outlineLevel="1" x14ac:dyDescent="0.25">
      <c r="B21" s="516"/>
      <c r="C21" s="516"/>
      <c r="D21" s="517" t="s">
        <v>1002</v>
      </c>
      <c r="E21" s="1089">
        <f>+F20/F5*'SOJA 1º'!G6</f>
        <v>8.6369043555392349</v>
      </c>
      <c r="F21" s="518">
        <f>F20/(SUM(F11:I13)/3)</f>
        <v>0.13704930936093127</v>
      </c>
      <c r="G21" s="519" t="s">
        <v>1003</v>
      </c>
      <c r="H21" s="519"/>
      <c r="I21" s="516"/>
      <c r="J21" s="516"/>
      <c r="K21" s="516"/>
      <c r="L21" s="516"/>
      <c r="M21" s="516"/>
      <c r="N21" s="516"/>
      <c r="O21" s="519" t="s">
        <v>1003</v>
      </c>
      <c r="P21" s="558"/>
      <c r="Q21" s="511">
        <f>+G16/F16-1</f>
        <v>2.971729835181014E-2</v>
      </c>
      <c r="R21" s="1090" t="str">
        <f>IF(Q21&gt;0,"a favor Trigo","en contra Trigo")</f>
        <v>a favor Trigo</v>
      </c>
      <c r="T21" s="1045"/>
      <c r="U21" s="1045"/>
      <c r="V21" s="1045"/>
      <c r="AK21" s="935"/>
      <c r="AL21" s="935"/>
      <c r="AM21" s="935"/>
      <c r="AN21" s="935"/>
      <c r="AO21" s="935"/>
      <c r="AP21" s="1052"/>
    </row>
    <row r="22" spans="2:42" ht="17.399999999999999" hidden="1" customHeight="1" outlineLevel="1" x14ac:dyDescent="0.25">
      <c r="D22" s="520"/>
      <c r="E22" s="1091"/>
      <c r="F22" s="521"/>
      <c r="G22" s="522"/>
      <c r="H22" s="522"/>
      <c r="O22" s="522"/>
      <c r="P22" s="558"/>
      <c r="T22" s="1045"/>
      <c r="U22" s="1045"/>
      <c r="V22" s="1045"/>
      <c r="AK22" s="935"/>
      <c r="AL22" s="935"/>
      <c r="AM22" s="935"/>
      <c r="AN22" s="935"/>
      <c r="AO22" s="935"/>
      <c r="AP22" s="1052"/>
    </row>
    <row r="23" spans="2:42" ht="20.25" hidden="1" customHeight="1" outlineLevel="1" x14ac:dyDescent="0.25">
      <c r="D23" s="523"/>
      <c r="E23" s="524" t="s">
        <v>1004</v>
      </c>
      <c r="F23" s="525">
        <v>0.3</v>
      </c>
      <c r="G23" s="525">
        <f>+F23</f>
        <v>0.3</v>
      </c>
      <c r="H23" s="525">
        <f>+F23</f>
        <v>0.3</v>
      </c>
      <c r="I23" s="525">
        <f>+F23</f>
        <v>0.3</v>
      </c>
      <c r="J23" s="525">
        <f>+F23</f>
        <v>0.3</v>
      </c>
      <c r="K23" s="525">
        <f>+F23</f>
        <v>0.3</v>
      </c>
      <c r="L23" s="525">
        <f>+F23</f>
        <v>0.3</v>
      </c>
      <c r="M23" s="525">
        <f>+F23</f>
        <v>0.3</v>
      </c>
      <c r="N23" s="525">
        <f>+F23</f>
        <v>0.3</v>
      </c>
      <c r="O23" s="525">
        <f>+F23</f>
        <v>0.3</v>
      </c>
      <c r="AK23" s="935"/>
      <c r="AL23" s="935"/>
      <c r="AM23" s="935"/>
      <c r="AN23" s="935"/>
      <c r="AO23" s="935"/>
      <c r="AP23" s="1052"/>
    </row>
    <row r="24" spans="2:42" ht="20.25" hidden="1" customHeight="1" outlineLevel="1" x14ac:dyDescent="0.25">
      <c r="E24" s="1092" t="s">
        <v>1005</v>
      </c>
      <c r="F24" s="1093">
        <f>D10-((F23-F18)*(F11+F13)/(1+F23)*Q15/F4)</f>
        <v>15.173645403846153</v>
      </c>
      <c r="G24" s="1093">
        <f>D10-((G23-G18)*(G11+G13)/(1+G23)*Q15/F4)</f>
        <v>12.14181426282051</v>
      </c>
      <c r="H24" s="1093">
        <f>D10-((H23-H18)*(H11+H13)/(1+H23)*Q15/F4)</f>
        <v>5.2541385576923041</v>
      </c>
      <c r="I24" s="1093">
        <f t="shared" ref="I24:N24" si="13">$D$10-((I23-I18)*(I11+I13)/(1+I23)*$Q$15/$F$4)</f>
        <v>13.908486153846145</v>
      </c>
      <c r="J24" s="1093">
        <f t="shared" si="13"/>
        <v>10.003483862179484</v>
      </c>
      <c r="K24" s="1093">
        <f t="shared" si="13"/>
        <v>12.786491557692313</v>
      </c>
      <c r="L24" s="1093">
        <f t="shared" si="13"/>
        <v>7.8482194411057637</v>
      </c>
      <c r="M24" s="1093">
        <f t="shared" si="13"/>
        <v>10.611665705128202</v>
      </c>
      <c r="N24" s="1093">
        <f t="shared" si="13"/>
        <v>23.993287500000005</v>
      </c>
      <c r="O24" s="1093">
        <f>D10-((O23-O18)*(O11+O13)/(1+O23)*Q15/F4)</f>
        <v>15.89871762820513</v>
      </c>
      <c r="AK24" s="935"/>
      <c r="AL24" s="935"/>
      <c r="AM24" s="935"/>
      <c r="AN24" s="935"/>
      <c r="AO24" s="935"/>
      <c r="AP24" s="1052"/>
    </row>
    <row r="25" spans="2:42" ht="20.25" hidden="1" customHeight="1" outlineLevel="1" x14ac:dyDescent="0.25">
      <c r="B25" s="526"/>
      <c r="C25" s="526"/>
      <c r="D25" s="526"/>
      <c r="E25" s="1094"/>
      <c r="F25" s="527" t="s">
        <v>1006</v>
      </c>
      <c r="G25" s="1095">
        <f>SUM(F24:I24)/3</f>
        <v>15.492694792735037</v>
      </c>
      <c r="H25" s="1095"/>
      <c r="I25" s="1096"/>
      <c r="J25" s="1096"/>
      <c r="K25" s="1096"/>
      <c r="L25" s="1096"/>
      <c r="M25" s="1096"/>
      <c r="N25" s="1096"/>
      <c r="O25" s="1596"/>
      <c r="AK25" s="935"/>
      <c r="AL25" s="935"/>
      <c r="AM25" s="935"/>
      <c r="AN25" s="935"/>
      <c r="AO25" s="935"/>
      <c r="AP25" s="1052"/>
    </row>
    <row r="26" spans="2:42" ht="20.25" hidden="1" customHeight="1" outlineLevel="1" x14ac:dyDescent="0.25">
      <c r="E26" s="1097" t="s">
        <v>1007</v>
      </c>
      <c r="F26" s="1093">
        <f>+F24</f>
        <v>15.173645403846153</v>
      </c>
      <c r="G26" s="1098">
        <f>+G24*F4/G4</f>
        <v>18.501812210012204</v>
      </c>
      <c r="H26" s="1098">
        <f>+H24*F4/H4</f>
        <v>8.0063063736263675</v>
      </c>
      <c r="I26" s="1099">
        <f t="shared" ref="I26" si="14">+I24*$F$4/$I$4</f>
        <v>23.424818785425089</v>
      </c>
      <c r="J26" s="1099">
        <f>+J24*$F$4/$J$4</f>
        <v>16.847972820512815</v>
      </c>
      <c r="K26" s="1099">
        <f>+K24*$F$4/$K$4</f>
        <v>12.786491557692313</v>
      </c>
      <c r="L26" s="1099">
        <f>+L24*$F$4/$L$4</f>
        <v>13.218053795546549</v>
      </c>
      <c r="M26" s="1099">
        <f>+M24*$F$4/$M$4</f>
        <v>8.4893325641025612</v>
      </c>
      <c r="N26" s="1099">
        <f>+N24*$F$4/$N$4</f>
        <v>12.753906976744188</v>
      </c>
      <c r="O26" s="1098">
        <f>+O24*F4/O4</f>
        <v>9.9756659627953752</v>
      </c>
      <c r="AK26" s="935"/>
      <c r="AL26" s="935"/>
      <c r="AM26" s="935"/>
      <c r="AN26" s="935"/>
      <c r="AO26" s="935"/>
      <c r="AP26" s="1052"/>
    </row>
    <row r="27" spans="2:42" ht="20.25" hidden="1" customHeight="1" outlineLevel="1" x14ac:dyDescent="0.25">
      <c r="E27" s="528"/>
      <c r="F27" s="1100" t="s">
        <v>335</v>
      </c>
      <c r="G27" s="1101" t="s">
        <v>276</v>
      </c>
      <c r="H27" s="1101" t="s">
        <v>276</v>
      </c>
      <c r="I27" s="1102" t="s">
        <v>278</v>
      </c>
      <c r="J27" s="1102" t="s">
        <v>1235</v>
      </c>
      <c r="K27" s="1157" t="str">
        <f>+K2</f>
        <v>SOJAsobreCS</v>
      </c>
      <c r="L27" s="1157" t="str">
        <f>+L2</f>
        <v>MAIZsobreCS</v>
      </c>
      <c r="M27" s="1157" t="s">
        <v>346</v>
      </c>
      <c r="N27" s="1157" t="s">
        <v>347</v>
      </c>
      <c r="O27" s="1101" t="s">
        <v>1242</v>
      </c>
      <c r="AK27" s="935"/>
      <c r="AL27" s="935"/>
      <c r="AM27" s="935"/>
      <c r="AN27" s="935"/>
      <c r="AO27" s="935"/>
      <c r="AP27" s="1052"/>
    </row>
    <row r="28" spans="2:42" ht="20.25" hidden="1" customHeight="1" outlineLevel="1" x14ac:dyDescent="0.25">
      <c r="E28" s="1103" t="s">
        <v>1008</v>
      </c>
      <c r="F28" s="1104">
        <f>+F16-F20</f>
        <v>-37.085580444444275</v>
      </c>
      <c r="G28" s="529" t="s">
        <v>1009</v>
      </c>
      <c r="H28" s="529"/>
      <c r="O28" s="529" t="s">
        <v>1009</v>
      </c>
      <c r="AK28" s="935"/>
      <c r="AL28" s="935"/>
      <c r="AM28" s="935"/>
      <c r="AN28" s="935"/>
      <c r="AO28" s="935"/>
      <c r="AP28" s="1052"/>
    </row>
    <row r="29" spans="2:42" ht="20.25" hidden="1" customHeight="1" outlineLevel="1" x14ac:dyDescent="0.25">
      <c r="E29" s="530"/>
      <c r="F29" s="1104">
        <f>+F28*Q15/F5</f>
        <v>-1.2761142105585064</v>
      </c>
      <c r="G29" s="1105" t="s">
        <v>1010</v>
      </c>
      <c r="H29" s="1105"/>
      <c r="O29" s="1105" t="s">
        <v>1010</v>
      </c>
      <c r="AK29" s="935"/>
      <c r="AL29" s="935"/>
      <c r="AM29" s="935"/>
      <c r="AN29" s="935"/>
      <c r="AO29" s="935"/>
      <c r="AP29" s="1052"/>
    </row>
    <row r="30" spans="2:42" collapsed="1" x14ac:dyDescent="0.25">
      <c r="F30" s="1030"/>
      <c r="Q30" s="708">
        <v>24500</v>
      </c>
      <c r="AK30" s="935"/>
      <c r="AL30" s="935"/>
      <c r="AM30" s="935"/>
      <c r="AN30" s="935"/>
      <c r="AO30" s="935"/>
      <c r="AP30" s="1052"/>
    </row>
    <row r="31" spans="2:42" hidden="1" outlineLevel="1" x14ac:dyDescent="0.25">
      <c r="C31" s="531" t="s">
        <v>1011</v>
      </c>
      <c r="D31" s="532"/>
      <c r="E31" s="532"/>
      <c r="F31" s="532"/>
      <c r="AK31" s="935"/>
      <c r="AL31" s="935"/>
      <c r="AM31" s="935"/>
      <c r="AN31" s="935"/>
      <c r="AO31" s="935"/>
      <c r="AP31" s="1052"/>
    </row>
    <row r="32" spans="2:42" hidden="1" outlineLevel="1" x14ac:dyDescent="0.25">
      <c r="E32" s="1106" t="s">
        <v>1012</v>
      </c>
      <c r="F32" s="1106">
        <f t="shared" ref="F32:N32" si="15">+F17</f>
        <v>7.3607901449807285</v>
      </c>
      <c r="G32" s="1106">
        <f t="shared" si="15"/>
        <v>7.5795329418241852</v>
      </c>
      <c r="H32" s="1106">
        <f t="shared" si="15"/>
        <v>1.2602959258579496</v>
      </c>
      <c r="I32" s="1106">
        <f t="shared" si="15"/>
        <v>9.7100940539548422</v>
      </c>
      <c r="J32" s="1106">
        <f t="shared" ref="J32" si="16">+J17</f>
        <v>0.64913768581390641</v>
      </c>
      <c r="K32" s="1106">
        <f t="shared" si="15"/>
        <v>4.8940210130299207</v>
      </c>
      <c r="L32" s="1106">
        <f t="shared" si="15"/>
        <v>0.66612179413653272</v>
      </c>
      <c r="M32" s="1106">
        <f t="shared" si="15"/>
        <v>1.5904615525784509</v>
      </c>
      <c r="N32" s="1106">
        <f t="shared" si="15"/>
        <v>22.174576527803275</v>
      </c>
      <c r="O32" s="1106">
        <f t="shared" ref="O32" si="17">+O17</f>
        <v>10.689201688383191</v>
      </c>
      <c r="AK32" s="935"/>
      <c r="AL32" s="935"/>
      <c r="AM32" s="935"/>
      <c r="AN32" s="935"/>
      <c r="AO32" s="935"/>
      <c r="AP32" s="1052"/>
    </row>
    <row r="33" spans="2:42" hidden="1" outlineLevel="1" x14ac:dyDescent="0.25">
      <c r="F33" s="1107"/>
      <c r="G33" s="1108"/>
      <c r="H33" s="1108"/>
      <c r="I33" s="1108"/>
      <c r="J33" s="1108"/>
      <c r="K33" s="1108"/>
      <c r="L33" s="1108"/>
      <c r="M33" s="1108"/>
      <c r="N33" s="1108"/>
      <c r="O33" s="1108"/>
      <c r="AK33" s="935"/>
      <c r="AL33" s="935"/>
      <c r="AM33" s="935"/>
      <c r="AN33" s="935"/>
      <c r="AO33" s="935"/>
      <c r="AP33" s="1052"/>
    </row>
    <row r="34" spans="2:42" hidden="1" outlineLevel="1" x14ac:dyDescent="0.25">
      <c r="C34" s="531" t="s">
        <v>1013</v>
      </c>
      <c r="D34" s="532"/>
      <c r="E34" s="532"/>
      <c r="F34" s="532"/>
      <c r="AK34" s="935"/>
      <c r="AL34" s="935"/>
      <c r="AM34" s="935"/>
      <c r="AN34" s="935"/>
      <c r="AO34" s="935"/>
      <c r="AP34" s="1052"/>
    </row>
    <row r="35" spans="2:42" hidden="1" outlineLevel="1" x14ac:dyDescent="0.25">
      <c r="E35" s="1106" t="s">
        <v>1012</v>
      </c>
      <c r="F35" s="1106">
        <f>+F11</f>
        <v>544</v>
      </c>
      <c r="G35" s="1106">
        <f>+F35</f>
        <v>544</v>
      </c>
      <c r="H35" s="1106">
        <f>+G35</f>
        <v>544</v>
      </c>
      <c r="I35" s="1106">
        <f>+G35</f>
        <v>544</v>
      </c>
      <c r="J35" s="1106">
        <f>+H35</f>
        <v>544</v>
      </c>
      <c r="K35" s="1106">
        <f>+H35</f>
        <v>544</v>
      </c>
      <c r="L35" s="1106">
        <f>+I35</f>
        <v>544</v>
      </c>
      <c r="M35" s="1106">
        <f t="shared" ref="M35" si="18">+K35</f>
        <v>544</v>
      </c>
      <c r="N35" s="1106">
        <f>+L35</f>
        <v>544</v>
      </c>
      <c r="O35" s="1106">
        <f>+N35</f>
        <v>544</v>
      </c>
      <c r="AK35" s="935"/>
      <c r="AL35" s="935"/>
      <c r="AM35" s="935"/>
      <c r="AN35" s="935"/>
      <c r="AO35" s="935"/>
      <c r="AP35" s="1052"/>
    </row>
    <row r="36" spans="2:42" hidden="1" outlineLevel="1" x14ac:dyDescent="0.25">
      <c r="AK36" s="935"/>
      <c r="AL36" s="935"/>
      <c r="AM36" s="935"/>
      <c r="AN36" s="935"/>
      <c r="AO36" s="935"/>
      <c r="AP36" s="1052"/>
    </row>
    <row r="37" spans="2:42" hidden="1" outlineLevel="1" x14ac:dyDescent="0.25">
      <c r="C37" s="531" t="s">
        <v>1014</v>
      </c>
      <c r="D37" s="532"/>
      <c r="E37" s="532"/>
      <c r="F37" s="532"/>
      <c r="AK37" s="935"/>
      <c r="AL37" s="935"/>
      <c r="AM37" s="935"/>
      <c r="AN37" s="935"/>
      <c r="AO37" s="935"/>
      <c r="AP37" s="1052"/>
    </row>
    <row r="38" spans="2:42" hidden="1" outlineLevel="1" x14ac:dyDescent="0.25">
      <c r="D38" s="685"/>
      <c r="E38" s="1109" t="s">
        <v>1015</v>
      </c>
      <c r="F38" s="1110">
        <f>+'Compra Productor'!E17/(1-F40)*F40</f>
        <v>1041539.1044776121</v>
      </c>
      <c r="G38" s="1110">
        <f>+'Compra Productor'!G17/(1-G40)*G40+'Compra Productor'!G18/(1-F40)*F40</f>
        <v>999322.22014925384</v>
      </c>
      <c r="H38" s="1110">
        <f>+'Compra Productor'!I17/(1-H40)*H40+'Compra Productor'!I18/(1-G40)*G40</f>
        <v>474592.5</v>
      </c>
      <c r="I38" s="1110">
        <f>+'Compra Productor'!K17/(1-I40)*I40</f>
        <v>437546.25</v>
      </c>
      <c r="J38" s="1110">
        <f>+'Compra Productor'!N17/(1-J40)*J40</f>
        <v>192.23999999999998</v>
      </c>
      <c r="K38" s="1110">
        <f>+'Compra Productor'!O17/(1-K40)*K40</f>
        <v>1041539.1044776121</v>
      </c>
      <c r="L38" s="1110">
        <f>+'Compra Productor'!Q17/(1-L40)*L40</f>
        <v>342427.5</v>
      </c>
      <c r="M38" s="1110">
        <f>+'Compra Productor'!S17/(1-M40)*M40</f>
        <v>141481.29032258067</v>
      </c>
      <c r="N38" s="1110">
        <f>+'Compra Productor'!U17/(1-N40)*N40</f>
        <v>120550.5</v>
      </c>
      <c r="O38" s="1110">
        <f>+'Compra Productor'!P17/(1-O40)*O40+'Compra Productor'!P18/(1-N40)*N40</f>
        <v>228.285</v>
      </c>
      <c r="AK38" s="935"/>
      <c r="AL38" s="935"/>
      <c r="AM38" s="935"/>
      <c r="AN38" s="935"/>
      <c r="AO38" s="935"/>
      <c r="AP38" s="1052"/>
    </row>
    <row r="39" spans="2:42" hidden="1" outlineLevel="1" x14ac:dyDescent="0.25">
      <c r="E39" s="1106" t="s">
        <v>1016</v>
      </c>
      <c r="F39" s="1106">
        <f t="shared" ref="F39:O39" si="19">+F38/$Q$15</f>
        <v>694.35940298507467</v>
      </c>
      <c r="G39" s="1106">
        <f t="shared" si="19"/>
        <v>666.21481343283585</v>
      </c>
      <c r="H39" s="1106">
        <f t="shared" si="19"/>
        <v>316.39499999999998</v>
      </c>
      <c r="I39" s="1106">
        <f t="shared" si="19"/>
        <v>291.69749999999999</v>
      </c>
      <c r="J39" s="1106">
        <f t="shared" si="19"/>
        <v>0.12816</v>
      </c>
      <c r="K39" s="1106">
        <f t="shared" si="19"/>
        <v>694.35940298507467</v>
      </c>
      <c r="L39" s="1106">
        <f t="shared" si="19"/>
        <v>228.285</v>
      </c>
      <c r="M39" s="1106">
        <f t="shared" si="19"/>
        <v>94.320860215053784</v>
      </c>
      <c r="N39" s="1106">
        <f t="shared" si="19"/>
        <v>80.367000000000004</v>
      </c>
      <c r="O39" s="1106">
        <f t="shared" si="19"/>
        <v>0.15218999999999999</v>
      </c>
      <c r="AK39" s="935"/>
      <c r="AL39" s="935"/>
      <c r="AM39" s="935"/>
      <c r="AN39" s="935"/>
      <c r="AO39" s="935"/>
      <c r="AP39" s="1052"/>
    </row>
    <row r="40" spans="2:42" hidden="1" outlineLevel="1" x14ac:dyDescent="0.25">
      <c r="F40" s="533">
        <v>0.33</v>
      </c>
      <c r="G40" s="533">
        <v>0.12</v>
      </c>
      <c r="H40" s="533">
        <v>0.12</v>
      </c>
      <c r="I40" s="533">
        <v>0.12</v>
      </c>
      <c r="J40" s="533">
        <v>0.12</v>
      </c>
      <c r="K40" s="533">
        <v>0.33</v>
      </c>
      <c r="L40" s="533">
        <v>0.12</v>
      </c>
      <c r="M40" s="533">
        <v>7.0000000000000007E-2</v>
      </c>
      <c r="N40" s="533">
        <v>3.7499999999999999E-2</v>
      </c>
      <c r="O40" s="533">
        <v>0.12</v>
      </c>
      <c r="AK40" s="935"/>
      <c r="AL40" s="935"/>
      <c r="AM40" s="935"/>
      <c r="AN40" s="935"/>
      <c r="AO40" s="935"/>
      <c r="AP40" s="1052"/>
    </row>
    <row r="41" spans="2:42" collapsed="1" x14ac:dyDescent="0.25">
      <c r="F41" s="1240"/>
      <c r="N41" s="1501">
        <f>10*26000</f>
        <v>260000</v>
      </c>
      <c r="O41" s="1501">
        <f>4*60000</f>
        <v>240000</v>
      </c>
      <c r="AK41" s="935"/>
      <c r="AL41" s="935"/>
      <c r="AM41" s="935"/>
      <c r="AN41" s="935"/>
      <c r="AO41" s="935"/>
      <c r="AP41" s="1052"/>
    </row>
    <row r="42" spans="2:42" hidden="1" outlineLevel="1" x14ac:dyDescent="0.25">
      <c r="B42" s="534" t="s">
        <v>1017</v>
      </c>
      <c r="C42" s="535"/>
      <c r="D42" s="535"/>
      <c r="E42" s="535"/>
      <c r="F42" s="535"/>
      <c r="G42" s="535"/>
      <c r="H42" s="535"/>
      <c r="I42" s="535"/>
      <c r="J42" s="535"/>
      <c r="K42" s="535"/>
      <c r="L42" s="535"/>
      <c r="M42" s="535"/>
      <c r="N42" s="535"/>
      <c r="O42" s="535"/>
      <c r="AK42" s="935"/>
      <c r="AL42" s="935"/>
      <c r="AM42" s="935"/>
      <c r="AN42" s="935"/>
      <c r="AO42" s="935"/>
      <c r="AP42" s="1052"/>
    </row>
    <row r="43" spans="2:42" ht="17.399999999999999" hidden="1" customHeight="1" outlineLevel="1" x14ac:dyDescent="0.25">
      <c r="B43" s="536"/>
      <c r="C43" s="1111" t="s">
        <v>152</v>
      </c>
      <c r="D43" s="1111" t="s">
        <v>1018</v>
      </c>
      <c r="E43" s="1111" t="s">
        <v>1018</v>
      </c>
      <c r="F43" s="537"/>
      <c r="G43" s="1111" t="s">
        <v>1019</v>
      </c>
      <c r="H43" s="1111"/>
      <c r="I43" s="1111" t="s">
        <v>1020</v>
      </c>
      <c r="J43" s="1111" t="s">
        <v>1020</v>
      </c>
      <c r="K43" s="1111"/>
      <c r="L43" s="1111"/>
      <c r="M43" s="1111" t="s">
        <v>1020</v>
      </c>
      <c r="N43" s="1111" t="s">
        <v>1020</v>
      </c>
      <c r="O43" s="1111" t="s">
        <v>1019</v>
      </c>
      <c r="P43" s="536"/>
      <c r="AK43" s="935"/>
      <c r="AL43" s="935"/>
      <c r="AM43" s="935"/>
      <c r="AN43" s="935"/>
      <c r="AO43" s="935"/>
      <c r="AP43" s="1052"/>
    </row>
    <row r="44" spans="2:42" hidden="1" outlineLevel="1" x14ac:dyDescent="0.25">
      <c r="B44" s="538">
        <f>+C44/SUM(C44:C46)</f>
        <v>0.45218591677667686</v>
      </c>
      <c r="C44" s="1112">
        <f>SUM(F39:I39)/3</f>
        <v>656.22223880597016</v>
      </c>
      <c r="D44" s="1112" t="s">
        <v>1021</v>
      </c>
      <c r="E44" s="536"/>
      <c r="F44" s="536"/>
      <c r="G44" s="1112">
        <v>0</v>
      </c>
      <c r="H44" s="1112"/>
      <c r="I44" s="1112">
        <f>+C44+G45+G46</f>
        <v>854.97222791708123</v>
      </c>
      <c r="J44" s="1112">
        <f>+C44+G45+G46</f>
        <v>854.97222791708123</v>
      </c>
      <c r="K44" s="1112"/>
      <c r="L44" s="1112"/>
      <c r="M44" s="1112">
        <f>+C44+G45+G46</f>
        <v>854.97222791708123</v>
      </c>
      <c r="N44" s="1112">
        <f>+C44+G45+G46</f>
        <v>854.97222791708123</v>
      </c>
      <c r="O44" s="1112">
        <v>0</v>
      </c>
      <c r="P44" s="539">
        <f>+I44/SUM(I44:I46)</f>
        <v>0.58913943758250764</v>
      </c>
      <c r="AK44" s="935"/>
      <c r="AL44" s="935"/>
      <c r="AM44" s="935"/>
      <c r="AN44" s="935"/>
      <c r="AO44" s="935"/>
      <c r="AP44" s="1052"/>
    </row>
    <row r="45" spans="2:42" hidden="1" outlineLevel="1" x14ac:dyDescent="0.25">
      <c r="B45" s="538">
        <f>+C45/SUM(C44:C46)</f>
        <v>0.3748564498120362</v>
      </c>
      <c r="C45" s="1112">
        <f>+F11</f>
        <v>544</v>
      </c>
      <c r="D45" s="1112" t="s">
        <v>1022</v>
      </c>
      <c r="E45" s="536"/>
      <c r="F45" s="536"/>
      <c r="G45" s="1112">
        <f>+C45*R45</f>
        <v>136</v>
      </c>
      <c r="H45" s="1112"/>
      <c r="I45" s="1112">
        <f>+C45-G45</f>
        <v>408</v>
      </c>
      <c r="J45" s="1112">
        <f>+C45-G45</f>
        <v>408</v>
      </c>
      <c r="K45" s="1112"/>
      <c r="L45" s="1112"/>
      <c r="M45" s="1112">
        <f>+C45-G45</f>
        <v>408</v>
      </c>
      <c r="N45" s="1112">
        <f>+C45-G45</f>
        <v>408</v>
      </c>
      <c r="O45" s="1112">
        <f>+K45*Y45</f>
        <v>0</v>
      </c>
      <c r="P45" s="539">
        <f>+I45/SUM(I44:I46)</f>
        <v>0.28114233735902716</v>
      </c>
      <c r="Q45" s="540" t="s">
        <v>1019</v>
      </c>
      <c r="R45" s="541">
        <v>0.25</v>
      </c>
      <c r="S45" s="540" t="s">
        <v>1023</v>
      </c>
      <c r="AK45" s="935"/>
      <c r="AL45" s="935"/>
      <c r="AM45" s="935"/>
      <c r="AN45" s="935"/>
      <c r="AO45" s="935"/>
      <c r="AP45" s="1052"/>
    </row>
    <row r="46" spans="2:42" hidden="1" outlineLevel="1" x14ac:dyDescent="0.25">
      <c r="B46" s="542">
        <f>+C46/SUM(C44:C46)</f>
        <v>0.17295763341128692</v>
      </c>
      <c r="C46" s="1113">
        <f>+F20</f>
        <v>250.99995644444422</v>
      </c>
      <c r="D46" s="1113" t="s">
        <v>1024</v>
      </c>
      <c r="E46" s="1113"/>
      <c r="F46" s="1113"/>
      <c r="G46" s="1113">
        <f>+C46*R46</f>
        <v>62.749989111111056</v>
      </c>
      <c r="H46" s="1113"/>
      <c r="I46" s="1113">
        <f>+C46-G46</f>
        <v>188.24996733333316</v>
      </c>
      <c r="J46" s="1113">
        <f>+C46-G46</f>
        <v>188.24996733333316</v>
      </c>
      <c r="K46" s="1113"/>
      <c r="L46" s="1113"/>
      <c r="M46" s="1113">
        <f>+C46-G46</f>
        <v>188.24996733333316</v>
      </c>
      <c r="N46" s="1113">
        <f>+C46-G46</f>
        <v>188.24996733333316</v>
      </c>
      <c r="O46" s="1113">
        <f>+K46*Y46</f>
        <v>0</v>
      </c>
      <c r="P46" s="543">
        <f>+I46/SUM(I44:I46)</f>
        <v>0.12971822505846517</v>
      </c>
      <c r="Q46" s="540" t="s">
        <v>1025</v>
      </c>
      <c r="R46" s="541">
        <v>0.25</v>
      </c>
      <c r="S46" s="540" t="s">
        <v>1023</v>
      </c>
      <c r="AK46" s="935"/>
      <c r="AL46" s="935"/>
      <c r="AM46" s="935"/>
      <c r="AN46" s="935"/>
      <c r="AO46" s="935"/>
      <c r="AP46" s="1052"/>
    </row>
    <row r="47" spans="2:42" hidden="1" outlineLevel="1" x14ac:dyDescent="0.25">
      <c r="B47" s="536"/>
      <c r="C47" s="1112">
        <f>SUM(C44:C46)</f>
        <v>1451.2221952504144</v>
      </c>
      <c r="D47" s="1112"/>
      <c r="E47" s="536"/>
      <c r="F47" s="536"/>
      <c r="G47" s="536"/>
      <c r="H47" s="536"/>
      <c r="I47" s="1112">
        <f>SUM(I44:I46)</f>
        <v>1451.2221952504144</v>
      </c>
      <c r="J47" s="1112">
        <f>SUM(J44:J46)</f>
        <v>1451.2221952504144</v>
      </c>
      <c r="K47" s="1112"/>
      <c r="L47" s="1112"/>
      <c r="M47" s="1112">
        <f>SUM(M44:M46)</f>
        <v>1451.2221952504144</v>
      </c>
      <c r="N47" s="1112">
        <f>SUM(N44:N46)</f>
        <v>1451.2221952504144</v>
      </c>
      <c r="O47" s="536"/>
      <c r="P47" s="536"/>
      <c r="AK47" s="935"/>
      <c r="AL47" s="935"/>
      <c r="AM47" s="935"/>
      <c r="AN47" s="935"/>
      <c r="AO47" s="935"/>
      <c r="AP47" s="1052"/>
    </row>
    <row r="48" spans="2:42" hidden="1" outlineLevel="1" x14ac:dyDescent="0.25">
      <c r="AK48" s="935"/>
      <c r="AL48" s="935"/>
      <c r="AM48" s="935"/>
      <c r="AN48" s="935"/>
      <c r="AO48" s="935"/>
      <c r="AP48" s="1052"/>
    </row>
    <row r="49" spans="2:42" hidden="1" outlineLevel="1" x14ac:dyDescent="0.25">
      <c r="AK49" s="935"/>
      <c r="AL49" s="935"/>
      <c r="AM49" s="935"/>
      <c r="AN49" s="935"/>
      <c r="AO49" s="935"/>
      <c r="AP49" s="1052"/>
    </row>
    <row r="50" spans="2:42" hidden="1" outlineLevel="1" x14ac:dyDescent="0.25">
      <c r="B50" s="534" t="s">
        <v>1026</v>
      </c>
      <c r="C50" s="535"/>
      <c r="D50" s="535"/>
      <c r="E50" s="535"/>
      <c r="F50" s="535"/>
      <c r="G50" s="535"/>
      <c r="H50" s="535"/>
      <c r="I50" s="535"/>
      <c r="J50" s="535"/>
      <c r="K50" s="535"/>
      <c r="L50" s="535"/>
      <c r="M50" s="535"/>
      <c r="N50" s="535"/>
      <c r="O50" s="535"/>
      <c r="AK50" s="935"/>
      <c r="AL50" s="935"/>
      <c r="AM50" s="935"/>
      <c r="AN50" s="935"/>
      <c r="AO50" s="935"/>
      <c r="AP50" s="1052"/>
    </row>
    <row r="51" spans="2:42" ht="17.399999999999999" hidden="1" customHeight="1" outlineLevel="1" x14ac:dyDescent="0.25">
      <c r="B51" s="536"/>
      <c r="C51" s="1111" t="s">
        <v>152</v>
      </c>
      <c r="D51" s="1111" t="s">
        <v>1018</v>
      </c>
      <c r="E51" s="1111" t="s">
        <v>1018</v>
      </c>
      <c r="F51" s="537"/>
      <c r="G51" s="1111" t="s">
        <v>1019</v>
      </c>
      <c r="H51" s="1111"/>
      <c r="I51" s="1111" t="s">
        <v>1020</v>
      </c>
      <c r="J51" s="1111" t="s">
        <v>1020</v>
      </c>
      <c r="K51" s="1111"/>
      <c r="L51" s="1111"/>
      <c r="M51" s="1111" t="s">
        <v>1020</v>
      </c>
      <c r="N51" s="1111" t="s">
        <v>1020</v>
      </c>
      <c r="O51" s="1111" t="s">
        <v>1019</v>
      </c>
      <c r="P51" s="536"/>
      <c r="AK51" s="935"/>
      <c r="AL51" s="935"/>
      <c r="AM51" s="935"/>
      <c r="AN51" s="935"/>
      <c r="AO51" s="935"/>
      <c r="AP51" s="1052"/>
    </row>
    <row r="52" spans="2:42" hidden="1" outlineLevel="1" x14ac:dyDescent="0.25">
      <c r="B52" s="538">
        <f>+C52/SUM(C52:C54)</f>
        <v>0.47811880447936583</v>
      </c>
      <c r="C52" s="1112">
        <f>+F39</f>
        <v>694.35940298507467</v>
      </c>
      <c r="D52" s="1112" t="s">
        <v>1021</v>
      </c>
      <c r="E52" s="536"/>
      <c r="F52" s="536"/>
      <c r="G52" s="1112">
        <v>0</v>
      </c>
      <c r="H52" s="1112"/>
      <c r="I52" s="1112">
        <f>+C52+G53+G54</f>
        <v>883.8379969850746</v>
      </c>
      <c r="J52" s="1112">
        <f>+C52+G53+G54</f>
        <v>883.8379969850746</v>
      </c>
      <c r="K52" s="1112"/>
      <c r="L52" s="1112"/>
      <c r="M52" s="1112">
        <f>+C52+G53+G54</f>
        <v>883.8379969850746</v>
      </c>
      <c r="N52" s="1112">
        <f>+C52+G53+G54</f>
        <v>883.8379969850746</v>
      </c>
      <c r="O52" s="1112">
        <v>0</v>
      </c>
      <c r="P52" s="539">
        <f>+I52/SUM(I52:I54)</f>
        <v>0.60858910335952432</v>
      </c>
      <c r="AK52" s="935"/>
      <c r="AL52" s="935"/>
      <c r="AM52" s="935"/>
      <c r="AN52" s="935"/>
      <c r="AO52" s="935"/>
      <c r="AP52" s="1052"/>
    </row>
    <row r="53" spans="2:42" hidden="1" outlineLevel="1" x14ac:dyDescent="0.25">
      <c r="B53" s="538">
        <f>+C53/SUM(C52:C54)</f>
        <v>0.37458501824647406</v>
      </c>
      <c r="C53" s="1112">
        <f>+F35</f>
        <v>544</v>
      </c>
      <c r="D53" s="1112" t="s">
        <v>1022</v>
      </c>
      <c r="E53" s="536"/>
      <c r="F53" s="536"/>
      <c r="G53" s="1112">
        <f>+C53*R53</f>
        <v>136</v>
      </c>
      <c r="H53" s="1112"/>
      <c r="I53" s="1112">
        <f>+C53-G53</f>
        <v>408</v>
      </c>
      <c r="J53" s="1112">
        <f>+C53-G53</f>
        <v>408</v>
      </c>
      <c r="K53" s="1112"/>
      <c r="L53" s="1112"/>
      <c r="M53" s="1112">
        <f>+C53-G53</f>
        <v>408</v>
      </c>
      <c r="N53" s="1112">
        <f>+C53-G53</f>
        <v>408</v>
      </c>
      <c r="O53" s="1112">
        <f>+K53*Y53</f>
        <v>0</v>
      </c>
      <c r="P53" s="539">
        <f>+I53/SUM(I52:I54)</f>
        <v>0.28093876368485554</v>
      </c>
      <c r="Q53" s="540" t="s">
        <v>1019</v>
      </c>
      <c r="R53" s="541">
        <v>0.25</v>
      </c>
      <c r="S53" s="540" t="s">
        <v>1023</v>
      </c>
      <c r="AK53" s="935"/>
      <c r="AL53" s="935"/>
      <c r="AM53" s="935"/>
      <c r="AN53" s="935"/>
      <c r="AO53" s="935"/>
      <c r="AP53" s="1052"/>
    </row>
    <row r="54" spans="2:42" hidden="1" outlineLevel="1" x14ac:dyDescent="0.25">
      <c r="B54" s="542">
        <f>+C54/SUM(C52:C54)</f>
        <v>0.14729617727416008</v>
      </c>
      <c r="C54" s="1113">
        <f>+F16</f>
        <v>213.91437599999995</v>
      </c>
      <c r="D54" s="1113" t="s">
        <v>1024</v>
      </c>
      <c r="E54" s="1113"/>
      <c r="F54" s="1113"/>
      <c r="G54" s="1113">
        <f>+C54*R54</f>
        <v>53.478593999999987</v>
      </c>
      <c r="H54" s="1113"/>
      <c r="I54" s="1113">
        <f>+C54-G54</f>
        <v>160.43578199999996</v>
      </c>
      <c r="J54" s="1113">
        <f>+C54-G54</f>
        <v>160.43578199999996</v>
      </c>
      <c r="K54" s="1113"/>
      <c r="L54" s="1113"/>
      <c r="M54" s="1113">
        <f>+C54-G54</f>
        <v>160.43578199999996</v>
      </c>
      <c r="N54" s="1113">
        <f>+C54-G54</f>
        <v>160.43578199999996</v>
      </c>
      <c r="O54" s="1113">
        <f>+K54*Y54</f>
        <v>0</v>
      </c>
      <c r="P54" s="543">
        <f>+I54/SUM(I52:I54)</f>
        <v>0.11047213295562007</v>
      </c>
      <c r="Q54" s="540" t="s">
        <v>1025</v>
      </c>
      <c r="R54" s="541">
        <v>0.25</v>
      </c>
      <c r="S54" s="540" t="s">
        <v>1023</v>
      </c>
      <c r="AK54" s="935"/>
      <c r="AL54" s="935"/>
      <c r="AM54" s="935"/>
      <c r="AN54" s="935"/>
      <c r="AO54" s="935"/>
      <c r="AP54" s="1052"/>
    </row>
    <row r="55" spans="2:42" hidden="1" outlineLevel="1" x14ac:dyDescent="0.25">
      <c r="B55" s="536"/>
      <c r="C55" s="1112">
        <f>SUM(C52:C54)</f>
        <v>1452.2737789850746</v>
      </c>
      <c r="D55" s="1112"/>
      <c r="E55" s="536"/>
      <c r="F55" s="536"/>
      <c r="G55" s="536"/>
      <c r="H55" s="536"/>
      <c r="I55" s="1112">
        <f>SUM(I52:I54)</f>
        <v>1452.2737789850746</v>
      </c>
      <c r="J55" s="1112">
        <f>SUM(J52:J54)</f>
        <v>1452.2737789850746</v>
      </c>
      <c r="K55" s="1112"/>
      <c r="L55" s="1112"/>
      <c r="M55" s="1112">
        <f>SUM(M52:M54)</f>
        <v>1452.2737789850746</v>
      </c>
      <c r="N55" s="1112">
        <f>SUM(N52:N54)</f>
        <v>1452.2737789850746</v>
      </c>
      <c r="O55" s="536"/>
      <c r="P55" s="536"/>
      <c r="AK55" s="935"/>
      <c r="AL55" s="935"/>
      <c r="AM55" s="935"/>
      <c r="AN55" s="935"/>
      <c r="AO55" s="935"/>
      <c r="AP55" s="1052"/>
    </row>
    <row r="56" spans="2:42" hidden="1" outlineLevel="1" x14ac:dyDescent="0.25">
      <c r="B56" s="536"/>
      <c r="C56" s="1112"/>
      <c r="D56" s="1112"/>
      <c r="E56" s="536"/>
      <c r="F56" s="536"/>
      <c r="G56" s="536"/>
      <c r="H56" s="536"/>
      <c r="I56" s="1112"/>
      <c r="J56" s="1112"/>
      <c r="K56" s="1112"/>
      <c r="L56" s="1112"/>
      <c r="M56" s="1112"/>
      <c r="N56" s="1112"/>
      <c r="O56" s="536"/>
      <c r="P56" s="536"/>
      <c r="AK56" s="935"/>
      <c r="AL56" s="935"/>
      <c r="AM56" s="935"/>
      <c r="AN56" s="935"/>
      <c r="AO56" s="935"/>
      <c r="AP56" s="1052"/>
    </row>
    <row r="57" spans="2:42" ht="16.2" hidden="1" customHeight="1" outlineLevel="1" thickBot="1" x14ac:dyDescent="0.3">
      <c r="B57" s="536"/>
      <c r="C57" s="1112"/>
      <c r="D57" s="1112"/>
      <c r="E57" s="536"/>
      <c r="F57" s="536"/>
      <c r="G57" s="536"/>
      <c r="H57" s="536"/>
      <c r="I57" s="1112"/>
      <c r="J57" s="1112"/>
      <c r="K57" s="1112"/>
      <c r="L57" s="1112"/>
      <c r="M57" s="1112"/>
      <c r="N57" s="1112"/>
      <c r="O57" s="536"/>
      <c r="P57" s="536"/>
      <c r="AK57" s="935"/>
      <c r="AL57" s="935"/>
      <c r="AM57" s="935"/>
      <c r="AN57" s="935"/>
      <c r="AO57" s="935"/>
      <c r="AP57" s="1052"/>
    </row>
    <row r="58" spans="2:42" ht="16.2" hidden="1" customHeight="1" outlineLevel="1" thickTop="1" x14ac:dyDescent="0.25">
      <c r="B58" s="544" t="s">
        <v>1027</v>
      </c>
      <c r="C58" s="545"/>
      <c r="D58" s="545"/>
      <c r="E58" s="545"/>
      <c r="F58" s="545"/>
      <c r="G58" s="546"/>
      <c r="H58" s="1570"/>
      <c r="N58" s="1585"/>
      <c r="O58" s="1595"/>
      <c r="AK58" s="935"/>
      <c r="AL58" s="935"/>
      <c r="AM58" s="935"/>
      <c r="AN58" s="935"/>
      <c r="AO58" s="935"/>
      <c r="AP58" s="1052"/>
    </row>
    <row r="59" spans="2:42" hidden="1" outlineLevel="1" x14ac:dyDescent="0.25">
      <c r="B59" s="547"/>
      <c r="C59" s="548">
        <f>+C52/C44-1</f>
        <v>5.8116232464929807E-2</v>
      </c>
      <c r="D59" s="549" t="s">
        <v>1028</v>
      </c>
      <c r="G59" s="550"/>
      <c r="N59" s="1585"/>
      <c r="O59" s="1590"/>
      <c r="AK59" s="935"/>
      <c r="AL59" s="935"/>
      <c r="AM59" s="935"/>
      <c r="AN59" s="935"/>
      <c r="AO59" s="935"/>
      <c r="AP59" s="1052"/>
    </row>
    <row r="60" spans="2:42" hidden="1" outlineLevel="1" x14ac:dyDescent="0.25">
      <c r="B60" s="547"/>
      <c r="C60" s="548">
        <v>0</v>
      </c>
      <c r="D60" s="549" t="s">
        <v>1029</v>
      </c>
      <c r="G60" s="550"/>
      <c r="N60" s="1585"/>
      <c r="O60" s="1590"/>
      <c r="AK60" s="935"/>
      <c r="AL60" s="935"/>
      <c r="AM60" s="935"/>
      <c r="AN60" s="935"/>
      <c r="AO60" s="935"/>
      <c r="AP60" s="1052"/>
    </row>
    <row r="61" spans="2:42" hidden="1" outlineLevel="1" x14ac:dyDescent="0.25">
      <c r="B61" s="547"/>
      <c r="C61" s="548">
        <f>+C54/C46-1</f>
        <v>-0.14775134215074148</v>
      </c>
      <c r="D61" s="549" t="s">
        <v>1030</v>
      </c>
      <c r="G61" s="550"/>
      <c r="N61" s="1585"/>
      <c r="O61" s="1590"/>
      <c r="AK61" s="935"/>
      <c r="AL61" s="935"/>
      <c r="AM61" s="935"/>
      <c r="AN61" s="935"/>
      <c r="AO61" s="935"/>
      <c r="AP61" s="1052"/>
    </row>
    <row r="62" spans="2:42" hidden="1" outlineLevel="1" x14ac:dyDescent="0.25">
      <c r="B62" s="547"/>
      <c r="C62" s="548">
        <f>+'RENTAB=ROTAC'!K17</f>
        <v>-0.54184374430149163</v>
      </c>
      <c r="D62" s="549" t="s">
        <v>1031</v>
      </c>
      <c r="G62" s="550"/>
      <c r="N62" s="1585"/>
      <c r="O62" s="1590"/>
      <c r="AK62" s="935"/>
      <c r="AL62" s="935"/>
      <c r="AM62" s="935"/>
      <c r="AN62" s="935"/>
      <c r="AO62" s="935"/>
      <c r="AP62" s="1052"/>
    </row>
    <row r="63" spans="2:42" hidden="1" outlineLevel="1" x14ac:dyDescent="0.25">
      <c r="B63" s="547"/>
      <c r="C63" s="551">
        <f>+'RENTAB=ROTAC'!K11</f>
        <v>-0.54091392136025507</v>
      </c>
      <c r="D63" s="552" t="s">
        <v>1032</v>
      </c>
      <c r="G63" s="550"/>
      <c r="N63" s="1585"/>
      <c r="O63" s="1590"/>
      <c r="AK63" s="935"/>
      <c r="AL63" s="935"/>
      <c r="AM63" s="935"/>
      <c r="AN63" s="935"/>
      <c r="AO63" s="935"/>
      <c r="AP63" s="1052"/>
    </row>
    <row r="64" spans="2:42" ht="16.2" hidden="1" customHeight="1" outlineLevel="1" thickBot="1" x14ac:dyDescent="0.3">
      <c r="B64" s="553"/>
      <c r="C64" s="554">
        <f>+'RENTAB=ROTAC'!K13</f>
        <v>-0.54325479111716735</v>
      </c>
      <c r="D64" s="555" t="s">
        <v>1033</v>
      </c>
      <c r="E64" s="556"/>
      <c r="F64" s="556"/>
      <c r="G64" s="557"/>
      <c r="N64" s="1585"/>
      <c r="O64" s="1590"/>
      <c r="AK64" s="935"/>
      <c r="AL64" s="935"/>
      <c r="AM64" s="935"/>
      <c r="AN64" s="935"/>
      <c r="AO64" s="935"/>
      <c r="AP64" s="1052"/>
    </row>
    <row r="65" spans="2:42" ht="16.2" hidden="1" customHeight="1" outlineLevel="1" thickTop="1" x14ac:dyDescent="0.25">
      <c r="B65" s="558"/>
      <c r="C65" s="552"/>
      <c r="D65" s="552"/>
      <c r="N65" s="1585"/>
      <c r="O65" s="1585"/>
      <c r="AK65" s="935"/>
      <c r="AL65" s="935"/>
      <c r="AM65" s="935"/>
      <c r="AN65" s="935"/>
      <c r="AO65" s="935"/>
      <c r="AP65" s="1052"/>
    </row>
    <row r="66" spans="2:42" hidden="1" outlineLevel="1" x14ac:dyDescent="0.25">
      <c r="B66" s="558"/>
      <c r="C66" s="552"/>
      <c r="D66" s="552"/>
      <c r="AK66" s="935"/>
      <c r="AL66" s="935"/>
      <c r="AM66" s="935"/>
      <c r="AN66" s="935"/>
      <c r="AO66" s="935"/>
      <c r="AP66" s="1052"/>
    </row>
    <row r="67" spans="2:42" ht="16.2" customHeight="1" collapsed="1" thickBot="1" x14ac:dyDescent="0.3">
      <c r="AK67" s="935"/>
      <c r="AL67" s="935"/>
      <c r="AM67" s="935"/>
      <c r="AN67" s="935"/>
      <c r="AO67" s="935"/>
      <c r="AP67" s="1052"/>
    </row>
    <row r="68" spans="2:42" ht="16.2" customHeight="1" outlineLevel="1" thickTop="1" x14ac:dyDescent="0.25">
      <c r="C68" s="559"/>
      <c r="D68" s="560"/>
      <c r="E68" s="560"/>
      <c r="F68" s="560"/>
      <c r="G68" s="560"/>
      <c r="H68" s="560"/>
      <c r="I68" s="560"/>
      <c r="J68" s="560"/>
      <c r="K68" s="560"/>
      <c r="L68" s="560"/>
      <c r="M68" s="560"/>
      <c r="N68" s="560"/>
      <c r="O68" s="560"/>
      <c r="P68" s="560"/>
      <c r="Q68" s="560"/>
      <c r="R68" s="561"/>
    </row>
    <row r="69" spans="2:42" ht="28.95" customHeight="1" outlineLevel="1" x14ac:dyDescent="0.25">
      <c r="C69" s="562"/>
      <c r="D69" s="649" t="s">
        <v>1034</v>
      </c>
      <c r="R69" s="563"/>
    </row>
    <row r="70" spans="2:42" ht="19.95" customHeight="1" outlineLevel="1" x14ac:dyDescent="0.25">
      <c r="C70" s="562"/>
      <c r="D70" s="564"/>
      <c r="R70" s="563"/>
    </row>
    <row r="71" spans="2:42" outlineLevel="1" x14ac:dyDescent="0.25">
      <c r="C71" s="562"/>
      <c r="D71" s="710"/>
      <c r="E71" s="710"/>
      <c r="F71" s="565" t="str">
        <f t="shared" ref="F71:N71" si="20">+F2</f>
        <v>Soja 1º</v>
      </c>
      <c r="G71" s="565" t="str">
        <f t="shared" si="20"/>
        <v>Trigo-Soja 2da</v>
      </c>
      <c r="H71" s="565" t="str">
        <f t="shared" si="20"/>
        <v>Trigo-Maíz 2da</v>
      </c>
      <c r="I71" s="565" t="str">
        <f t="shared" si="20"/>
        <v>Maíz</v>
      </c>
      <c r="J71" s="565" t="str">
        <f t="shared" ref="J71" si="21">+J2</f>
        <v>Sorgo</v>
      </c>
      <c r="K71" s="565" t="str">
        <f t="shared" si="20"/>
        <v>SOJAsobreCS</v>
      </c>
      <c r="L71" s="565" t="str">
        <f t="shared" si="20"/>
        <v>MAIZsobreCS</v>
      </c>
      <c r="M71" s="565" t="str">
        <f t="shared" si="20"/>
        <v>Girasol</v>
      </c>
      <c r="N71" s="565" t="str">
        <f t="shared" si="20"/>
        <v>Mani</v>
      </c>
      <c r="O71" s="565" t="str">
        <f t="shared" ref="O71" si="22">+O2</f>
        <v>Camelina-Soja 2da</v>
      </c>
      <c r="P71" s="710"/>
      <c r="R71" s="563"/>
    </row>
    <row r="72" spans="2:42" outlineLevel="1" x14ac:dyDescent="0.25">
      <c r="C72" s="562"/>
      <c r="D72" s="710"/>
      <c r="E72" s="581" t="s">
        <v>1035</v>
      </c>
      <c r="F72" s="1114">
        <f t="shared" ref="F72:N72" si="23">+F4</f>
        <v>48000</v>
      </c>
      <c r="G72" s="1114">
        <f t="shared" si="23"/>
        <v>31500</v>
      </c>
      <c r="H72" s="1114">
        <f t="shared" si="23"/>
        <v>31500</v>
      </c>
      <c r="I72" s="1114">
        <f t="shared" si="23"/>
        <v>28500</v>
      </c>
      <c r="J72" s="1114">
        <f t="shared" ref="J72" si="24">+J4</f>
        <v>28500</v>
      </c>
      <c r="K72" s="1114">
        <f t="shared" si="23"/>
        <v>48000</v>
      </c>
      <c r="L72" s="1114">
        <f t="shared" si="23"/>
        <v>28500</v>
      </c>
      <c r="M72" s="1114">
        <f t="shared" si="23"/>
        <v>60000</v>
      </c>
      <c r="N72" s="1114">
        <f t="shared" si="23"/>
        <v>90300</v>
      </c>
      <c r="O72" s="1114">
        <f t="shared" ref="O72" si="25">+O4</f>
        <v>76500</v>
      </c>
      <c r="P72" s="710"/>
      <c r="R72" s="563"/>
    </row>
    <row r="73" spans="2:42" outlineLevel="1" x14ac:dyDescent="0.25">
      <c r="C73" s="562"/>
      <c r="D73" s="710"/>
      <c r="E73" s="581" t="s">
        <v>1036</v>
      </c>
      <c r="F73" s="566">
        <f t="shared" ref="F73:N73" si="26">+F8</f>
        <v>45</v>
      </c>
      <c r="G73" s="566">
        <f t="shared" si="26"/>
        <v>45</v>
      </c>
      <c r="H73" s="566">
        <f t="shared" si="26"/>
        <v>45</v>
      </c>
      <c r="I73" s="566">
        <f t="shared" si="26"/>
        <v>115</v>
      </c>
      <c r="J73" s="566">
        <f t="shared" ref="J73" si="27">+J8</f>
        <v>70</v>
      </c>
      <c r="K73" s="566">
        <f t="shared" si="26"/>
        <v>45</v>
      </c>
      <c r="L73" s="566">
        <f t="shared" si="26"/>
        <v>90</v>
      </c>
      <c r="M73" s="566">
        <f t="shared" si="26"/>
        <v>32</v>
      </c>
      <c r="N73" s="566">
        <f t="shared" si="26"/>
        <v>35</v>
      </c>
      <c r="O73" s="566">
        <f t="shared" ref="O73" si="28">+O8</f>
        <v>11</v>
      </c>
      <c r="P73" s="710"/>
      <c r="R73" s="563"/>
    </row>
    <row r="74" spans="2:42" outlineLevel="1" x14ac:dyDescent="0.25">
      <c r="C74" s="562"/>
      <c r="D74" s="710"/>
      <c r="G74" s="566">
        <f>+G9</f>
        <v>35</v>
      </c>
      <c r="H74" s="566">
        <f>+H9</f>
        <v>75</v>
      </c>
      <c r="O74" s="566">
        <f>+O9</f>
        <v>40</v>
      </c>
      <c r="R74" s="563"/>
    </row>
    <row r="75" spans="2:42" outlineLevel="1" x14ac:dyDescent="0.25">
      <c r="C75" s="562"/>
      <c r="D75" s="710"/>
      <c r="E75" s="581" t="s">
        <v>1037</v>
      </c>
      <c r="F75" s="710">
        <f>+D10</f>
        <v>17</v>
      </c>
      <c r="G75" s="710">
        <f>+F75</f>
        <v>17</v>
      </c>
      <c r="H75" s="710">
        <f>+G75</f>
        <v>17</v>
      </c>
      <c r="I75" s="710">
        <f>+G75</f>
        <v>17</v>
      </c>
      <c r="J75" s="710">
        <f>+H75</f>
        <v>17</v>
      </c>
      <c r="K75" s="710">
        <f>+H75</f>
        <v>17</v>
      </c>
      <c r="L75" s="710">
        <f>+I75</f>
        <v>17</v>
      </c>
      <c r="M75" s="710">
        <f t="shared" ref="M75" si="29">+K75</f>
        <v>17</v>
      </c>
      <c r="N75" s="710">
        <f>+L75</f>
        <v>17</v>
      </c>
      <c r="O75" s="710">
        <f>+N75</f>
        <v>17</v>
      </c>
      <c r="P75" s="710"/>
      <c r="R75" s="563"/>
    </row>
    <row r="76" spans="2:42" outlineLevel="1" x14ac:dyDescent="0.25">
      <c r="C76" s="562"/>
      <c r="D76" s="710"/>
      <c r="E76" s="581" t="s">
        <v>1038</v>
      </c>
      <c r="F76" s="1115">
        <f t="shared" ref="F76:N76" si="30">+F16</f>
        <v>213.91437599999995</v>
      </c>
      <c r="G76" s="1115">
        <f t="shared" si="30"/>
        <v>220.27133333333325</v>
      </c>
      <c r="H76" s="1115">
        <f t="shared" si="30"/>
        <v>36.625879999999825</v>
      </c>
      <c r="I76" s="1115">
        <f t="shared" si="30"/>
        <v>282.18827999999962</v>
      </c>
      <c r="J76" s="1115">
        <f t="shared" ref="J76" si="31">+J16</f>
        <v>18.864806666666539</v>
      </c>
      <c r="K76" s="1115">
        <f t="shared" si="30"/>
        <v>142.2267760000002</v>
      </c>
      <c r="L76" s="1115">
        <f t="shared" si="30"/>
        <v>19.358387499999822</v>
      </c>
      <c r="M76" s="1115">
        <f t="shared" si="30"/>
        <v>46.220933333333221</v>
      </c>
      <c r="N76" s="1115">
        <f t="shared" si="30"/>
        <v>644.42276000000027</v>
      </c>
      <c r="O76" s="1115">
        <f t="shared" ref="O76" si="32">+O16</f>
        <v>310.64245333333338</v>
      </c>
      <c r="P76" s="710"/>
      <c r="R76" s="563"/>
    </row>
    <row r="77" spans="2:42" outlineLevel="1" x14ac:dyDescent="0.25">
      <c r="C77" s="562"/>
      <c r="D77" s="710"/>
      <c r="E77" s="710"/>
      <c r="F77" s="710"/>
      <c r="G77" s="1114"/>
      <c r="H77" s="1114"/>
      <c r="I77" s="710"/>
      <c r="J77" s="710"/>
      <c r="K77" s="710"/>
      <c r="L77" s="710"/>
      <c r="M77" s="710"/>
      <c r="N77" s="710"/>
      <c r="O77" s="1114"/>
      <c r="P77" s="710"/>
      <c r="Q77" s="567" t="s">
        <v>1039</v>
      </c>
      <c r="R77" s="563"/>
    </row>
    <row r="78" spans="2:42" outlineLevel="1" x14ac:dyDescent="0.25">
      <c r="C78" s="562"/>
      <c r="D78" s="710"/>
      <c r="E78" s="567" t="s">
        <v>1040</v>
      </c>
      <c r="F78" s="1597">
        <v>50</v>
      </c>
      <c r="G78" s="1597">
        <v>0</v>
      </c>
      <c r="H78" s="1597">
        <v>0</v>
      </c>
      <c r="I78" s="1597">
        <v>50</v>
      </c>
      <c r="J78" s="1597"/>
      <c r="K78" s="1597"/>
      <c r="L78" s="1597"/>
      <c r="M78" s="1597"/>
      <c r="N78" s="1597"/>
      <c r="O78" s="1597">
        <v>0</v>
      </c>
      <c r="Q78" s="1116">
        <f>SUM(F78:N78)</f>
        <v>100</v>
      </c>
      <c r="R78" s="563"/>
    </row>
    <row r="79" spans="2:42" outlineLevel="1" x14ac:dyDescent="0.25">
      <c r="C79" s="562"/>
      <c r="E79" s="568" t="s">
        <v>1041</v>
      </c>
      <c r="F79" s="944">
        <f t="shared" ref="F79:I79" si="33">+F78*F76</f>
        <v>10695.718799999997</v>
      </c>
      <c r="G79" s="944">
        <f t="shared" si="33"/>
        <v>0</v>
      </c>
      <c r="H79" s="944">
        <f t="shared" si="33"/>
        <v>0</v>
      </c>
      <c r="I79" s="944">
        <f t="shared" si="33"/>
        <v>14109.413999999981</v>
      </c>
      <c r="J79" s="944">
        <f t="shared" ref="J79" si="34">+J78*J76</f>
        <v>0</v>
      </c>
      <c r="K79" s="944">
        <f t="shared" ref="K79" si="35">+K78*K76</f>
        <v>0</v>
      </c>
      <c r="L79" s="944">
        <f t="shared" ref="L79" si="36">+L78*L76</f>
        <v>0</v>
      </c>
      <c r="M79" s="944">
        <f t="shared" ref="M79" si="37">+M78*M76</f>
        <v>0</v>
      </c>
      <c r="N79" s="944">
        <f t="shared" ref="N79:O79" si="38">+N78*N76</f>
        <v>0</v>
      </c>
      <c r="O79" s="944">
        <f t="shared" si="38"/>
        <v>0</v>
      </c>
      <c r="P79" s="1721">
        <f>SUM(F79:O79)</f>
        <v>24805.132799999978</v>
      </c>
      <c r="Q79" s="1697"/>
      <c r="R79" s="650" t="s">
        <v>152</v>
      </c>
      <c r="S79" s="1029"/>
    </row>
    <row r="80" spans="2:42" outlineLevel="1" x14ac:dyDescent="0.25">
      <c r="C80" s="562"/>
      <c r="E80" s="568" t="s">
        <v>1042</v>
      </c>
      <c r="F80" s="944">
        <f t="shared" ref="F80:O80" si="39">+F79*$Q$15</f>
        <v>16043578.199999996</v>
      </c>
      <c r="G80" s="944">
        <f t="shared" si="39"/>
        <v>0</v>
      </c>
      <c r="H80" s="944">
        <f t="shared" si="39"/>
        <v>0</v>
      </c>
      <c r="I80" s="944">
        <f t="shared" si="39"/>
        <v>21164120.99999997</v>
      </c>
      <c r="J80" s="944">
        <f t="shared" si="39"/>
        <v>0</v>
      </c>
      <c r="K80" s="944">
        <f t="shared" si="39"/>
        <v>0</v>
      </c>
      <c r="L80" s="944">
        <f t="shared" si="39"/>
        <v>0</v>
      </c>
      <c r="M80" s="944">
        <f t="shared" si="39"/>
        <v>0</v>
      </c>
      <c r="N80" s="944">
        <f t="shared" si="39"/>
        <v>0</v>
      </c>
      <c r="O80" s="944">
        <f t="shared" si="39"/>
        <v>0</v>
      </c>
      <c r="P80" s="1722">
        <f>+P79*Q15</f>
        <v>37207699.199999966</v>
      </c>
      <c r="Q80" s="1697"/>
      <c r="R80" s="650" t="s">
        <v>287</v>
      </c>
    </row>
    <row r="81" spans="3:21" outlineLevel="1" x14ac:dyDescent="0.25">
      <c r="C81" s="562"/>
      <c r="E81" s="568" t="s">
        <v>1043</v>
      </c>
      <c r="F81" s="944">
        <f t="shared" ref="F81:I81" si="40">+F80/$F$5</f>
        <v>368.03950724903643</v>
      </c>
      <c r="G81" s="944">
        <f t="shared" si="40"/>
        <v>0</v>
      </c>
      <c r="H81" s="944">
        <f t="shared" si="40"/>
        <v>0</v>
      </c>
      <c r="I81" s="944">
        <f t="shared" si="40"/>
        <v>485.504702697742</v>
      </c>
      <c r="J81" s="944">
        <f t="shared" ref="J81" si="41">+J80/$F$5</f>
        <v>0</v>
      </c>
      <c r="K81" s="944">
        <f t="shared" ref="K81" si="42">+K80/$F$5</f>
        <v>0</v>
      </c>
      <c r="L81" s="944">
        <f t="shared" ref="L81" si="43">+L80/$F$5</f>
        <v>0</v>
      </c>
      <c r="M81" s="944">
        <f t="shared" ref="M81" si="44">+M80/$F$5</f>
        <v>0</v>
      </c>
      <c r="N81" s="944">
        <f t="shared" ref="N81:O81" si="45">+N80/$F$5</f>
        <v>0</v>
      </c>
      <c r="O81" s="944">
        <f t="shared" si="45"/>
        <v>0</v>
      </c>
      <c r="P81" s="1725">
        <f>+P80/F5</f>
        <v>853.54420994677844</v>
      </c>
      <c r="Q81" s="1697"/>
      <c r="R81" s="650" t="s">
        <v>223</v>
      </c>
    </row>
    <row r="82" spans="3:21" outlineLevel="1" x14ac:dyDescent="0.25">
      <c r="C82" s="562"/>
      <c r="E82" s="568"/>
      <c r="F82" s="944"/>
      <c r="G82" s="944"/>
      <c r="H82" s="944"/>
      <c r="I82" s="944"/>
      <c r="J82" s="944"/>
      <c r="K82" s="944"/>
      <c r="L82" s="944"/>
      <c r="M82" s="944"/>
      <c r="N82" s="944"/>
      <c r="O82" s="944"/>
      <c r="P82" s="651"/>
      <c r="Q82" s="651"/>
      <c r="R82" s="650"/>
    </row>
    <row r="83" spans="3:21" outlineLevel="1" x14ac:dyDescent="0.25">
      <c r="C83" s="562"/>
      <c r="D83" s="569" t="s">
        <v>1044</v>
      </c>
      <c r="E83" s="1598">
        <v>0</v>
      </c>
      <c r="F83" s="569" t="s">
        <v>1045</v>
      </c>
      <c r="G83" s="1598">
        <v>100</v>
      </c>
      <c r="O83" s="1117">
        <v>0</v>
      </c>
      <c r="P83" s="581" t="s">
        <v>1046</v>
      </c>
      <c r="Q83" s="944">
        <f>+P79/Q78</f>
        <v>248.05132799999978</v>
      </c>
      <c r="R83" s="563"/>
    </row>
    <row r="84" spans="3:21" ht="17.399999999999999" customHeight="1" outlineLevel="1" x14ac:dyDescent="0.25">
      <c r="C84" s="562"/>
      <c r="E84" s="1118">
        <f>+IF(F84=0,0,"diferencia Has.!!! :")</f>
        <v>0</v>
      </c>
      <c r="F84" s="1119">
        <f>-Q78+E83+G83</f>
        <v>0</v>
      </c>
      <c r="P84" s="581" t="s">
        <v>1047</v>
      </c>
      <c r="Q84" s="944">
        <f>+P80/Q78</f>
        <v>372076.99199999968</v>
      </c>
      <c r="R84" s="563"/>
    </row>
    <row r="85" spans="3:21" ht="17.399999999999999" customHeight="1" outlineLevel="1" x14ac:dyDescent="0.25">
      <c r="C85" s="562"/>
      <c r="E85" s="1118"/>
      <c r="F85" s="1119"/>
      <c r="P85" s="581"/>
      <c r="Q85" s="944"/>
      <c r="R85" s="563"/>
    </row>
    <row r="86" spans="3:21" ht="17.399999999999999" customHeight="1" outlineLevel="1" x14ac:dyDescent="0.25">
      <c r="C86" s="562"/>
      <c r="E86" s="1241" t="s">
        <v>1077</v>
      </c>
      <c r="F86" s="1241" t="s">
        <v>1078</v>
      </c>
      <c r="G86" s="1241" t="s">
        <v>1079</v>
      </c>
      <c r="H86" s="1241" t="s">
        <v>1080</v>
      </c>
      <c r="I86" s="1241"/>
      <c r="J86" s="1241"/>
      <c r="O86" s="1584"/>
      <c r="P86" s="1585"/>
      <c r="Q86" s="1584"/>
      <c r="R86" s="563"/>
    </row>
    <row r="87" spans="3:21" ht="17.399999999999999" customHeight="1" outlineLevel="1" x14ac:dyDescent="0.25">
      <c r="C87" s="562"/>
      <c r="E87" s="1242">
        <f>+P79</f>
        <v>24805.132799999978</v>
      </c>
      <c r="F87" s="1242">
        <f>+F88/Q13</f>
        <v>49404.26666666667</v>
      </c>
      <c r="G87" s="1243">
        <f>+E87+F87</f>
        <v>74209.399466666655</v>
      </c>
      <c r="H87" s="1243">
        <f>+G87/Q78</f>
        <v>742.0939946666665</v>
      </c>
      <c r="I87" s="1242"/>
      <c r="J87" s="1242"/>
      <c r="O87" s="1586"/>
      <c r="P87" s="1587"/>
      <c r="Q87" s="1588"/>
      <c r="R87" s="563"/>
    </row>
    <row r="88" spans="3:21" ht="16.2" customHeight="1" outlineLevel="1" x14ac:dyDescent="0.25">
      <c r="C88" s="562"/>
      <c r="D88" s="1244"/>
      <c r="E88" s="1245">
        <f>+P80</f>
        <v>37207699.199999966</v>
      </c>
      <c r="F88" s="1245">
        <f>+G83*D10*F5</f>
        <v>74106400</v>
      </c>
      <c r="G88" s="1246">
        <f>+E88+F88</f>
        <v>111314099.19999996</v>
      </c>
      <c r="H88" s="1246">
        <f>+G88/Q78</f>
        <v>1113140.9919999996</v>
      </c>
      <c r="I88" s="1245"/>
      <c r="J88" s="1245"/>
      <c r="K88" s="1244"/>
      <c r="L88" s="1244"/>
      <c r="M88" s="1244"/>
      <c r="N88" s="1244"/>
      <c r="O88" s="1589"/>
      <c r="P88" s="1590"/>
      <c r="Q88" s="1591"/>
      <c r="R88" s="563"/>
      <c r="S88" s="562"/>
    </row>
    <row r="89" spans="3:21" ht="17.399999999999999" customHeight="1" outlineLevel="1" thickBot="1" x14ac:dyDescent="0.3">
      <c r="C89" s="570"/>
      <c r="D89" s="571"/>
      <c r="E89" s="1247">
        <f>+P81</f>
        <v>853.54420994677844</v>
      </c>
      <c r="F89" s="1247">
        <f>+F88/F5</f>
        <v>1700</v>
      </c>
      <c r="G89" s="1248">
        <f>+E89+F89</f>
        <v>2553.5442099467782</v>
      </c>
      <c r="H89" s="1248">
        <f>+G89/Q78</f>
        <v>25.535442099467783</v>
      </c>
      <c r="I89" s="1247"/>
      <c r="J89" s="1247"/>
      <c r="K89" s="571"/>
      <c r="L89" s="571"/>
      <c r="M89" s="571"/>
      <c r="N89" s="571"/>
      <c r="O89" s="1592"/>
      <c r="P89" s="1593"/>
      <c r="Q89" s="1594"/>
      <c r="R89" s="572"/>
    </row>
    <row r="90" spans="3:21" ht="16.2" thickTop="1" x14ac:dyDescent="0.25"/>
    <row r="91" spans="3:21" ht="16.2" customHeight="1" outlineLevel="1" x14ac:dyDescent="0.25"/>
    <row r="92" spans="3:21" outlineLevel="1" x14ac:dyDescent="0.25"/>
    <row r="93" spans="3:21" ht="18" customHeight="1" outlineLevel="1" thickBot="1" x14ac:dyDescent="0.3">
      <c r="C93" s="1120" t="s">
        <v>1048</v>
      </c>
      <c r="D93" s="1121"/>
      <c r="E93" s="1121"/>
      <c r="F93" s="1121" t="s">
        <v>1049</v>
      </c>
      <c r="G93" s="1121" t="s">
        <v>1050</v>
      </c>
      <c r="H93" s="1121" t="s">
        <v>1012</v>
      </c>
      <c r="I93" s="1121" t="s">
        <v>1051</v>
      </c>
      <c r="J93" s="1121" t="s">
        <v>1241</v>
      </c>
      <c r="K93" s="1121"/>
      <c r="L93" s="1121"/>
      <c r="M93" s="1121"/>
      <c r="N93" s="1121"/>
      <c r="O93" s="1435"/>
      <c r="U93" s="558"/>
    </row>
    <row r="94" spans="3:21" outlineLevel="1" x14ac:dyDescent="0.25">
      <c r="C94" s="644"/>
      <c r="D94" s="644"/>
      <c r="E94" s="645" t="s">
        <v>1052</v>
      </c>
      <c r="F94" s="1122">
        <v>20000000</v>
      </c>
      <c r="G94" s="1123">
        <f t="shared" ref="G94:G105" si="46">+F94/$F$5</f>
        <v>458.79977977610571</v>
      </c>
      <c r="H94" s="1123">
        <f>+F94/$Q$13</f>
        <v>13333.333333333334</v>
      </c>
      <c r="I94" s="1124">
        <f t="shared" ref="I94:I105" si="47">+G94/$Q$78</f>
        <v>4.5879977977610569</v>
      </c>
      <c r="J94" s="1124">
        <f t="shared" ref="J94:J105" si="48">+H94/$Q$78</f>
        <v>133.33333333333334</v>
      </c>
      <c r="K94" s="1124"/>
      <c r="L94" s="1124"/>
      <c r="M94" s="1124"/>
      <c r="N94" s="1124"/>
      <c r="O94" s="1436"/>
      <c r="P94" s="573" t="str">
        <f t="shared" ref="P94:P105" si="49">IF(F94&gt;0,"Los gastos DEBEN ir con signo NEGATIVO","bien")</f>
        <v>Los gastos DEBEN ir con signo NEGATIVO</v>
      </c>
      <c r="R94" s="1047"/>
      <c r="T94" s="1126"/>
      <c r="U94" s="558"/>
    </row>
    <row r="95" spans="3:21" outlineLevel="1" x14ac:dyDescent="0.25">
      <c r="C95" s="574"/>
      <c r="D95" s="574"/>
      <c r="E95" s="575" t="s">
        <v>1053</v>
      </c>
      <c r="F95" s="1127">
        <f>SUM(F96:F103)</f>
        <v>555</v>
      </c>
      <c r="G95" s="1128">
        <f t="shared" si="46"/>
        <v>1.2731693888786933E-2</v>
      </c>
      <c r="H95" s="1128">
        <f>SUM(H96:H103)</f>
        <v>0.37</v>
      </c>
      <c r="I95" s="1125">
        <f t="shared" si="47"/>
        <v>1.2731693888786935E-4</v>
      </c>
      <c r="J95" s="1125">
        <f t="shared" si="48"/>
        <v>3.7000000000000002E-3</v>
      </c>
      <c r="K95" s="1125"/>
      <c r="L95" s="1125"/>
      <c r="M95" s="1125"/>
      <c r="N95" s="1125"/>
      <c r="O95" s="1125"/>
      <c r="P95" s="573" t="str">
        <f t="shared" si="49"/>
        <v>Los gastos DEBEN ir con signo NEGATIVO</v>
      </c>
      <c r="R95" s="1047"/>
      <c r="T95" s="1030"/>
    </row>
    <row r="96" spans="3:21" outlineLevel="1" x14ac:dyDescent="0.25">
      <c r="C96" s="574"/>
      <c r="D96" s="574"/>
      <c r="E96" s="643" t="s">
        <v>1054</v>
      </c>
      <c r="F96" s="1129">
        <v>0</v>
      </c>
      <c r="G96" s="1130">
        <f t="shared" si="46"/>
        <v>0</v>
      </c>
      <c r="H96" s="1130">
        <f t="shared" ref="H96:H105" si="50">+F96/$Q$13</f>
        <v>0</v>
      </c>
      <c r="I96" s="1131">
        <f t="shared" si="47"/>
        <v>0</v>
      </c>
      <c r="J96" s="1131">
        <f t="shared" si="48"/>
        <v>0</v>
      </c>
      <c r="K96" s="1131"/>
      <c r="L96" s="1131"/>
      <c r="M96" s="1131"/>
      <c r="N96" s="1131"/>
      <c r="O96" s="1131"/>
      <c r="P96" s="648" t="str">
        <f t="shared" si="49"/>
        <v>bien</v>
      </c>
      <c r="R96" s="1047"/>
      <c r="T96" s="1030"/>
    </row>
    <row r="97" spans="3:22" outlineLevel="1" x14ac:dyDescent="0.25">
      <c r="C97" s="574"/>
      <c r="D97" s="574"/>
      <c r="E97" s="643" t="s">
        <v>1055</v>
      </c>
      <c r="F97" s="1129">
        <v>0</v>
      </c>
      <c r="G97" s="1130">
        <f t="shared" si="46"/>
        <v>0</v>
      </c>
      <c r="H97" s="1130">
        <f t="shared" si="50"/>
        <v>0</v>
      </c>
      <c r="I97" s="1131">
        <f t="shared" si="47"/>
        <v>0</v>
      </c>
      <c r="J97" s="1131">
        <f t="shared" si="48"/>
        <v>0</v>
      </c>
      <c r="K97" s="1131"/>
      <c r="L97" s="1131"/>
      <c r="M97" s="1131"/>
      <c r="N97" s="1131"/>
      <c r="O97" s="1131"/>
      <c r="P97" s="648" t="str">
        <f t="shared" si="49"/>
        <v>bien</v>
      </c>
      <c r="R97" s="1047"/>
      <c r="T97" s="1030"/>
    </row>
    <row r="98" spans="3:22" outlineLevel="1" x14ac:dyDescent="0.25">
      <c r="C98" s="574"/>
      <c r="D98" s="574"/>
      <c r="E98" s="643" t="s">
        <v>1056</v>
      </c>
      <c r="F98" s="1129">
        <v>0</v>
      </c>
      <c r="G98" s="1130">
        <f t="shared" si="46"/>
        <v>0</v>
      </c>
      <c r="H98" s="1130">
        <f t="shared" si="50"/>
        <v>0</v>
      </c>
      <c r="I98" s="1131">
        <f t="shared" si="47"/>
        <v>0</v>
      </c>
      <c r="J98" s="1131">
        <f t="shared" si="48"/>
        <v>0</v>
      </c>
      <c r="K98" s="1131"/>
      <c r="L98" s="1131"/>
      <c r="M98" s="1131"/>
      <c r="N98" s="1131"/>
      <c r="O98" s="1131"/>
      <c r="P98" s="648" t="str">
        <f t="shared" si="49"/>
        <v>bien</v>
      </c>
      <c r="R98" s="1047"/>
      <c r="T98" s="1030"/>
    </row>
    <row r="99" spans="3:22" outlineLevel="1" x14ac:dyDescent="0.25">
      <c r="C99" s="574"/>
      <c r="D99" s="574"/>
      <c r="E99" s="643" t="s">
        <v>1057</v>
      </c>
      <c r="F99" s="1129">
        <v>0</v>
      </c>
      <c r="G99" s="1130">
        <f t="shared" si="46"/>
        <v>0</v>
      </c>
      <c r="H99" s="1130">
        <f t="shared" si="50"/>
        <v>0</v>
      </c>
      <c r="I99" s="1131">
        <f t="shared" si="47"/>
        <v>0</v>
      </c>
      <c r="J99" s="1131">
        <f t="shared" si="48"/>
        <v>0</v>
      </c>
      <c r="K99" s="1131"/>
      <c r="L99" s="1131"/>
      <c r="M99" s="1131"/>
      <c r="N99" s="1131"/>
      <c r="O99" s="1131"/>
      <c r="P99" s="648" t="str">
        <f t="shared" si="49"/>
        <v>bien</v>
      </c>
      <c r="R99" s="1047"/>
      <c r="T99" s="1030"/>
    </row>
    <row r="100" spans="3:22" outlineLevel="1" x14ac:dyDescent="0.25">
      <c r="C100" s="574"/>
      <c r="D100" s="574"/>
      <c r="E100" s="643" t="s">
        <v>1058</v>
      </c>
      <c r="F100" s="1129">
        <v>0</v>
      </c>
      <c r="G100" s="1130">
        <f t="shared" si="46"/>
        <v>0</v>
      </c>
      <c r="H100" s="1130">
        <f t="shared" si="50"/>
        <v>0</v>
      </c>
      <c r="I100" s="1131">
        <f t="shared" si="47"/>
        <v>0</v>
      </c>
      <c r="J100" s="1131">
        <f t="shared" si="48"/>
        <v>0</v>
      </c>
      <c r="K100" s="1131"/>
      <c r="L100" s="1131"/>
      <c r="M100" s="1131"/>
      <c r="N100" s="1131"/>
      <c r="O100" s="1131"/>
      <c r="P100" s="648" t="str">
        <f t="shared" si="49"/>
        <v>bien</v>
      </c>
      <c r="R100" s="1047"/>
      <c r="T100" s="1030"/>
    </row>
    <row r="101" spans="3:22" outlineLevel="1" x14ac:dyDescent="0.25">
      <c r="C101" s="574"/>
      <c r="D101" s="574"/>
      <c r="E101" s="643" t="s">
        <v>1059</v>
      </c>
      <c r="F101" s="1129">
        <v>0</v>
      </c>
      <c r="G101" s="1130">
        <f t="shared" si="46"/>
        <v>0</v>
      </c>
      <c r="H101" s="1130">
        <f t="shared" si="50"/>
        <v>0</v>
      </c>
      <c r="I101" s="1131">
        <f t="shared" si="47"/>
        <v>0</v>
      </c>
      <c r="J101" s="1131">
        <f t="shared" si="48"/>
        <v>0</v>
      </c>
      <c r="K101" s="1131"/>
      <c r="L101" s="1131"/>
      <c r="M101" s="1131"/>
      <c r="N101" s="1131"/>
      <c r="O101" s="1131"/>
      <c r="P101" s="648" t="str">
        <f t="shared" si="49"/>
        <v>bien</v>
      </c>
      <c r="R101" s="1047"/>
      <c r="T101" s="1030"/>
    </row>
    <row r="102" spans="3:22" outlineLevel="1" x14ac:dyDescent="0.25">
      <c r="C102" s="574"/>
      <c r="D102" s="574"/>
      <c r="E102" s="643" t="s">
        <v>1060</v>
      </c>
      <c r="F102" s="1129">
        <v>555</v>
      </c>
      <c r="G102" s="1130">
        <f t="shared" si="46"/>
        <v>1.2731693888786933E-2</v>
      </c>
      <c r="H102" s="1130">
        <f t="shared" si="50"/>
        <v>0.37</v>
      </c>
      <c r="I102" s="1131">
        <f t="shared" si="47"/>
        <v>1.2731693888786935E-4</v>
      </c>
      <c r="J102" s="1131">
        <f t="shared" si="48"/>
        <v>3.7000000000000002E-3</v>
      </c>
      <c r="K102" s="1131"/>
      <c r="L102" s="1131"/>
      <c r="M102" s="1131"/>
      <c r="N102" s="1131"/>
      <c r="O102" s="1131"/>
      <c r="P102" s="648" t="str">
        <f t="shared" si="49"/>
        <v>Los gastos DEBEN ir con signo NEGATIVO</v>
      </c>
      <c r="R102" s="1047"/>
      <c r="T102" s="1030"/>
    </row>
    <row r="103" spans="3:22" outlineLevel="1" x14ac:dyDescent="0.25">
      <c r="C103" s="646"/>
      <c r="D103" s="646"/>
      <c r="E103" s="647" t="s">
        <v>1061</v>
      </c>
      <c r="F103" s="1132">
        <v>0</v>
      </c>
      <c r="G103" s="1133">
        <f t="shared" si="46"/>
        <v>0</v>
      </c>
      <c r="H103" s="1133">
        <f t="shared" si="50"/>
        <v>0</v>
      </c>
      <c r="I103" s="1134">
        <f t="shared" si="47"/>
        <v>0</v>
      </c>
      <c r="J103" s="1134">
        <f t="shared" si="48"/>
        <v>0</v>
      </c>
      <c r="K103" s="1134"/>
      <c r="L103" s="1134"/>
      <c r="M103" s="1134"/>
      <c r="N103" s="1134"/>
      <c r="O103" s="1437"/>
      <c r="P103" s="648" t="str">
        <f t="shared" si="49"/>
        <v>bien</v>
      </c>
      <c r="R103" s="1047"/>
      <c r="T103" s="1030"/>
    </row>
    <row r="104" spans="3:22" outlineLevel="1" x14ac:dyDescent="0.25">
      <c r="C104" s="574"/>
      <c r="D104" s="574"/>
      <c r="E104" s="575" t="s">
        <v>1062</v>
      </c>
      <c r="F104" s="1135">
        <v>0</v>
      </c>
      <c r="G104" s="1128">
        <f t="shared" si="46"/>
        <v>0</v>
      </c>
      <c r="H104" s="1128">
        <f t="shared" si="50"/>
        <v>0</v>
      </c>
      <c r="I104" s="1125">
        <f t="shared" si="47"/>
        <v>0</v>
      </c>
      <c r="J104" s="1125">
        <f t="shared" si="48"/>
        <v>0</v>
      </c>
      <c r="K104" s="1125"/>
      <c r="L104" s="1125"/>
      <c r="M104" s="1125"/>
      <c r="N104" s="1125"/>
      <c r="O104" s="1125"/>
      <c r="P104" s="573" t="str">
        <f t="shared" si="49"/>
        <v>bien</v>
      </c>
      <c r="R104" s="1047"/>
    </row>
    <row r="105" spans="3:22" ht="16.2" customHeight="1" outlineLevel="1" thickBot="1" x14ac:dyDescent="0.3">
      <c r="C105" s="576"/>
      <c r="D105" s="576"/>
      <c r="E105" s="577" t="s">
        <v>1061</v>
      </c>
      <c r="F105" s="1136">
        <v>0</v>
      </c>
      <c r="G105" s="1137">
        <f t="shared" si="46"/>
        <v>0</v>
      </c>
      <c r="H105" s="1137">
        <f t="shared" si="50"/>
        <v>0</v>
      </c>
      <c r="I105" s="1138">
        <f t="shared" si="47"/>
        <v>0</v>
      </c>
      <c r="J105" s="1138">
        <f t="shared" si="48"/>
        <v>0</v>
      </c>
      <c r="K105" s="1138"/>
      <c r="L105" s="1138"/>
      <c r="M105" s="1138"/>
      <c r="N105" s="1138"/>
      <c r="O105" s="1436"/>
      <c r="P105" s="573" t="str">
        <f t="shared" si="49"/>
        <v>bien</v>
      </c>
    </row>
    <row r="106" spans="3:22" ht="16.2" customHeight="1" outlineLevel="1" thickBot="1" x14ac:dyDescent="0.3">
      <c r="F106" s="1139">
        <f>SUM(F94:F105)-F95</f>
        <v>20000555</v>
      </c>
      <c r="G106" s="1140">
        <f>SUM(G94:G105)-G95</f>
        <v>458.81251146999449</v>
      </c>
      <c r="H106" s="1140">
        <f>SUM(H94:H105)-H95</f>
        <v>13333.703333333335</v>
      </c>
      <c r="I106" s="1141">
        <f>SUM(I94:I105)-I95</f>
        <v>4.5881251146999444</v>
      </c>
      <c r="J106" s="1141">
        <f>SUM(J94:J105)-J95</f>
        <v>133.33703333333335</v>
      </c>
      <c r="K106" s="1141"/>
      <c r="L106" s="1141"/>
      <c r="M106" s="1141"/>
      <c r="N106" s="1141"/>
      <c r="O106" s="1438"/>
    </row>
    <row r="107" spans="3:22" ht="16.2" customHeight="1" outlineLevel="1" thickTop="1" x14ac:dyDescent="0.25">
      <c r="G107" s="710"/>
      <c r="H107" s="710"/>
      <c r="I107" s="710"/>
      <c r="J107" s="710"/>
      <c r="K107" s="710"/>
      <c r="L107" s="710"/>
      <c r="M107" s="710"/>
      <c r="N107" s="710"/>
      <c r="O107" s="710"/>
    </row>
    <row r="108" spans="3:22" ht="16.2" customHeight="1" outlineLevel="1" thickBot="1" x14ac:dyDescent="0.3">
      <c r="C108" s="578" t="s">
        <v>1063</v>
      </c>
      <c r="D108" s="578"/>
      <c r="E108" s="579"/>
      <c r="F108" s="579"/>
      <c r="G108" s="580"/>
      <c r="H108" s="580"/>
      <c r="I108" s="580"/>
      <c r="J108" s="580"/>
      <c r="K108" s="580"/>
      <c r="L108" s="580"/>
      <c r="M108" s="580"/>
      <c r="N108" s="580"/>
      <c r="O108" s="1439"/>
    </row>
    <row r="109" spans="3:22" ht="16.2" customHeight="1" outlineLevel="1" thickTop="1" x14ac:dyDescent="0.25">
      <c r="E109" s="581" t="s">
        <v>1064</v>
      </c>
      <c r="F109" s="1142">
        <v>0</v>
      </c>
      <c r="G109" s="1128">
        <f>+F109/$F$5</f>
        <v>0</v>
      </c>
      <c r="H109" s="1130">
        <f t="shared" ref="H109:H113" si="51">+F109/$Q$13</f>
        <v>0</v>
      </c>
      <c r="I109" s="1125">
        <f t="shared" ref="I109:J113" si="52">+G109/$Q$78</f>
        <v>0</v>
      </c>
      <c r="J109" s="1125">
        <f t="shared" si="52"/>
        <v>0</v>
      </c>
      <c r="K109" s="1125"/>
      <c r="L109" s="1125"/>
      <c r="M109" s="1125"/>
      <c r="N109" s="1125"/>
      <c r="O109" s="1125"/>
      <c r="P109" s="558"/>
      <c r="Q109" s="582"/>
      <c r="R109" s="583"/>
      <c r="S109" s="584"/>
    </row>
    <row r="110" spans="3:22" ht="18" customHeight="1" outlineLevel="1" x14ac:dyDescent="0.25">
      <c r="C110" s="598"/>
      <c r="D110" s="598"/>
      <c r="E110" s="597" t="s">
        <v>1065</v>
      </c>
      <c r="F110" s="1143">
        <v>3000000</v>
      </c>
      <c r="G110" s="1128">
        <f>+F110/$F$5</f>
        <v>68.819966966415862</v>
      </c>
      <c r="H110" s="1130">
        <f t="shared" si="51"/>
        <v>2000</v>
      </c>
      <c r="I110" s="1125">
        <f t="shared" si="52"/>
        <v>0.68819966966415858</v>
      </c>
      <c r="J110" s="1125">
        <f t="shared" si="52"/>
        <v>20</v>
      </c>
      <c r="K110" s="1125"/>
      <c r="L110" s="1125"/>
      <c r="M110" s="1125"/>
      <c r="N110" s="1125"/>
      <c r="O110" s="1125"/>
      <c r="P110" s="710"/>
      <c r="Q110" s="1723" t="s">
        <v>1066</v>
      </c>
      <c r="R110" s="1697"/>
      <c r="S110" s="1724"/>
    </row>
    <row r="111" spans="3:22" ht="17.399999999999999" customHeight="1" outlineLevel="1" x14ac:dyDescent="0.25">
      <c r="C111" s="598"/>
      <c r="D111" s="598"/>
      <c r="E111" s="598"/>
      <c r="F111" s="1143">
        <v>0</v>
      </c>
      <c r="G111" s="1128">
        <f>+F111/$F$5</f>
        <v>0</v>
      </c>
      <c r="H111" s="1130">
        <f t="shared" si="51"/>
        <v>0</v>
      </c>
      <c r="I111" s="1125">
        <f t="shared" si="52"/>
        <v>0</v>
      </c>
      <c r="J111" s="1125">
        <f t="shared" si="52"/>
        <v>0</v>
      </c>
      <c r="K111" s="1125"/>
      <c r="L111" s="1125"/>
      <c r="M111" s="1125"/>
      <c r="N111" s="1125"/>
      <c r="O111" s="1125"/>
      <c r="P111" s="710"/>
      <c r="Q111" s="585"/>
      <c r="R111" s="586">
        <f>+P80+F106+F114</f>
        <v>60208254.199999966</v>
      </c>
      <c r="S111" s="587" t="s">
        <v>287</v>
      </c>
      <c r="V111" s="1144"/>
    </row>
    <row r="112" spans="3:22" ht="17.399999999999999" customHeight="1" outlineLevel="1" x14ac:dyDescent="0.25">
      <c r="C112" s="598"/>
      <c r="D112" s="598"/>
      <c r="E112" s="598"/>
      <c r="F112" s="1143">
        <v>0</v>
      </c>
      <c r="G112" s="1128">
        <f>+F112/$F$5</f>
        <v>0</v>
      </c>
      <c r="H112" s="1130">
        <f t="shared" si="51"/>
        <v>0</v>
      </c>
      <c r="I112" s="1125">
        <f t="shared" si="52"/>
        <v>0</v>
      </c>
      <c r="J112" s="1125">
        <f t="shared" si="52"/>
        <v>0</v>
      </c>
      <c r="K112" s="1125"/>
      <c r="L112" s="1125"/>
      <c r="M112" s="1125"/>
      <c r="N112" s="1125"/>
      <c r="O112" s="1125"/>
      <c r="P112" s="710"/>
      <c r="Q112" s="585"/>
      <c r="R112" s="1145">
        <f>+P79+H106+H114</f>
        <v>40138.836133333316</v>
      </c>
      <c r="S112" s="587" t="s">
        <v>152</v>
      </c>
      <c r="T112" s="1052"/>
    </row>
    <row r="113" spans="3:20" ht="18" customHeight="1" outlineLevel="1" thickBot="1" x14ac:dyDescent="0.3">
      <c r="C113" s="599"/>
      <c r="D113" s="599"/>
      <c r="E113" s="599"/>
      <c r="F113" s="1146">
        <v>0</v>
      </c>
      <c r="G113" s="1137">
        <f>+F113/$F$5</f>
        <v>0</v>
      </c>
      <c r="H113" s="1130">
        <f t="shared" si="51"/>
        <v>0</v>
      </c>
      <c r="I113" s="1138">
        <f t="shared" si="52"/>
        <v>0</v>
      </c>
      <c r="J113" s="1138">
        <f t="shared" si="52"/>
        <v>0</v>
      </c>
      <c r="K113" s="1138"/>
      <c r="L113" s="1138"/>
      <c r="M113" s="1138"/>
      <c r="N113" s="1138"/>
      <c r="O113" s="1436"/>
      <c r="Q113" s="585"/>
      <c r="R113" s="1085">
        <f>+P81+G106+G114</f>
        <v>1381.1766883831888</v>
      </c>
      <c r="S113" s="587" t="s">
        <v>223</v>
      </c>
      <c r="T113" s="1052"/>
    </row>
    <row r="114" spans="3:20" ht="16.2" customHeight="1" outlineLevel="1" thickBot="1" x14ac:dyDescent="0.3">
      <c r="E114" s="591" t="s">
        <v>1067</v>
      </c>
      <c r="F114" s="1147">
        <f>SUM(F109:F113)</f>
        <v>3000000</v>
      </c>
      <c r="G114" s="1148">
        <f>SUM(G109:G113)</f>
        <v>68.819966966415862</v>
      </c>
      <c r="H114" s="1148">
        <f>SUM(H109:H113)</f>
        <v>2000</v>
      </c>
      <c r="I114" s="1149">
        <f>SUM(I109:I113)</f>
        <v>0.68819966966415858</v>
      </c>
      <c r="J114" s="1149">
        <f>SUM(J109:J113)</f>
        <v>20</v>
      </c>
      <c r="K114" s="1149"/>
      <c r="L114" s="1149"/>
      <c r="M114" s="1149"/>
      <c r="N114" s="1149"/>
      <c r="O114" s="1440"/>
      <c r="Q114" s="588"/>
      <c r="R114" s="589"/>
      <c r="S114" s="590"/>
    </row>
    <row r="117" spans="3:20" x14ac:dyDescent="0.25">
      <c r="P117" s="592"/>
    </row>
    <row r="119" spans="3:20" x14ac:dyDescent="0.25">
      <c r="F119" s="628" t="s">
        <v>275</v>
      </c>
      <c r="G119" s="628" t="s">
        <v>342</v>
      </c>
      <c r="H119" s="628" t="s">
        <v>343</v>
      </c>
      <c r="I119" s="628" t="s">
        <v>278</v>
      </c>
      <c r="J119" s="628" t="s">
        <v>278</v>
      </c>
      <c r="K119" s="1156" t="str">
        <f>+K2</f>
        <v>SOJAsobreCS</v>
      </c>
      <c r="L119" s="1156" t="str">
        <f t="shared" ref="L119:O119" si="53">+L2</f>
        <v>MAIZsobreCS</v>
      </c>
      <c r="M119" s="628" t="str">
        <f t="shared" si="53"/>
        <v>Girasol</v>
      </c>
      <c r="N119" s="628" t="str">
        <f t="shared" si="53"/>
        <v>Mani</v>
      </c>
      <c r="O119" s="628" t="str">
        <f t="shared" si="53"/>
        <v>Camelina-Soja 2da</v>
      </c>
    </row>
    <row r="120" spans="3:20" x14ac:dyDescent="0.25">
      <c r="E120" s="581" t="s">
        <v>1040</v>
      </c>
      <c r="F120" s="1150">
        <f t="shared" ref="F120:O120" si="54">+F78</f>
        <v>50</v>
      </c>
      <c r="G120" s="1150">
        <f t="shared" si="54"/>
        <v>0</v>
      </c>
      <c r="H120" s="1150">
        <f t="shared" si="54"/>
        <v>0</v>
      </c>
      <c r="I120" s="1150">
        <f t="shared" si="54"/>
        <v>50</v>
      </c>
      <c r="J120" s="1150">
        <f t="shared" ref="J120" si="55">+J78</f>
        <v>0</v>
      </c>
      <c r="K120" s="1150">
        <f t="shared" si="54"/>
        <v>0</v>
      </c>
      <c r="L120" s="1150">
        <f t="shared" si="54"/>
        <v>0</v>
      </c>
      <c r="M120" s="1150">
        <f t="shared" si="54"/>
        <v>0</v>
      </c>
      <c r="N120" s="1150">
        <f t="shared" si="54"/>
        <v>0</v>
      </c>
      <c r="O120" s="1150">
        <f t="shared" si="54"/>
        <v>0</v>
      </c>
    </row>
    <row r="121" spans="3:20" x14ac:dyDescent="0.25">
      <c r="E121" s="581" t="s">
        <v>1068</v>
      </c>
      <c r="F121" s="1150">
        <f>500+161</f>
        <v>661</v>
      </c>
      <c r="G121" s="1150">
        <f>380+437+161</f>
        <v>978</v>
      </c>
      <c r="H121" s="1150">
        <f>380+567+161</f>
        <v>1108</v>
      </c>
      <c r="I121" s="1150">
        <f>700+161</f>
        <v>861</v>
      </c>
      <c r="J121" s="1150">
        <f>700+161</f>
        <v>861</v>
      </c>
      <c r="K121" s="1150"/>
      <c r="L121" s="1150"/>
      <c r="M121" s="1150"/>
      <c r="N121" s="1150"/>
      <c r="O121" s="1150"/>
    </row>
    <row r="122" spans="3:20" x14ac:dyDescent="0.25">
      <c r="E122" s="581" t="s">
        <v>1069</v>
      </c>
      <c r="F122" s="1150">
        <f>(F120*F121+G120*G121+H120*H121+I120*I121+K120*K121+L120*L121+M120*M121+N120*N121)/SUM(F120:N120)</f>
        <v>761</v>
      </c>
      <c r="G122" s="710"/>
      <c r="H122" s="710"/>
      <c r="I122" s="710"/>
      <c r="J122" s="710"/>
      <c r="K122" s="710"/>
      <c r="L122" s="710"/>
      <c r="M122" s="710"/>
      <c r="N122" s="710"/>
      <c r="O122" s="710"/>
    </row>
    <row r="123" spans="3:20" x14ac:dyDescent="0.25">
      <c r="E123" s="581" t="s">
        <v>1070</v>
      </c>
      <c r="F123" s="1151">
        <v>900</v>
      </c>
      <c r="G123" s="710"/>
      <c r="H123" s="710"/>
      <c r="I123" s="710"/>
      <c r="J123" s="710"/>
      <c r="K123" s="710"/>
      <c r="L123" s="710"/>
      <c r="M123" s="710"/>
      <c r="N123" s="710"/>
      <c r="O123" s="710"/>
    </row>
    <row r="124" spans="3:20" x14ac:dyDescent="0.25">
      <c r="F124" s="1152">
        <f>+F123-F122</f>
        <v>139</v>
      </c>
      <c r="G124" s="629" t="s">
        <v>1071</v>
      </c>
      <c r="H124" s="710"/>
      <c r="I124" s="710"/>
      <c r="J124" s="710"/>
      <c r="K124" s="710"/>
      <c r="L124" s="710"/>
      <c r="M124" s="710"/>
      <c r="N124" s="710"/>
      <c r="O124" s="710"/>
    </row>
  </sheetData>
  <sheetProtection algorithmName="SHA-512" hashValue="TB1nlIVAdalnrads7JOhQWyks1dw5CcAHLhQm3tEnDvz5Ajfs23fhw7AtqGDQzWxCNaGUvVLXs6b6VUXAFOJSA==" saltValue="639XYvuGYKLhh8ofHF8E3Q==" spinCount="100000" sheet="1" objects="1" scenarios="1"/>
  <mergeCells count="4">
    <mergeCell ref="P79:Q79"/>
    <mergeCell ref="P80:Q80"/>
    <mergeCell ref="Q110:S110"/>
    <mergeCell ref="P81:Q81"/>
  </mergeCells>
  <conditionalFormatting sqref="A1">
    <cfRule type="cellIs" dxfId="13" priority="16" stopIfTrue="1" operator="equal">
      <formula>"MAL"</formula>
    </cfRule>
  </conditionalFormatting>
  <conditionalFormatting sqref="F16:I19 K17:L19 K16:N16">
    <cfRule type="cellIs" dxfId="12" priority="15" stopIfTrue="1" operator="lessThan">
      <formula>0</formula>
    </cfRule>
  </conditionalFormatting>
  <conditionalFormatting sqref="P94:P105">
    <cfRule type="cellIs" dxfId="11" priority="14" stopIfTrue="1" operator="equal">
      <formula>"""bien"""</formula>
    </cfRule>
  </conditionalFormatting>
  <conditionalFormatting sqref="Q17">
    <cfRule type="cellIs" dxfId="10" priority="13" stopIfTrue="1" operator="lessThan">
      <formula>0</formula>
    </cfRule>
  </conditionalFormatting>
  <conditionalFormatting sqref="R17">
    <cfRule type="cellIs" dxfId="9" priority="12" stopIfTrue="1" operator="lessThan">
      <formula>0</formula>
    </cfRule>
  </conditionalFormatting>
  <conditionalFormatting sqref="Q18">
    <cfRule type="cellIs" dxfId="8" priority="11" stopIfTrue="1" operator="lessThan">
      <formula>0</formula>
    </cfRule>
  </conditionalFormatting>
  <conditionalFormatting sqref="R18">
    <cfRule type="cellIs" dxfId="7" priority="10" stopIfTrue="1" operator="lessThan">
      <formula>0</formula>
    </cfRule>
  </conditionalFormatting>
  <conditionalFormatting sqref="AC13">
    <cfRule type="cellIs" dxfId="6" priority="9" stopIfTrue="1" operator="lessThan">
      <formula>0</formula>
    </cfRule>
  </conditionalFormatting>
  <conditionalFormatting sqref="AD13">
    <cfRule type="cellIs" dxfId="5" priority="8" stopIfTrue="1" operator="lessThan">
      <formula>0</formula>
    </cfRule>
  </conditionalFormatting>
  <conditionalFormatting sqref="N17:N19">
    <cfRule type="cellIs" dxfId="4" priority="5" stopIfTrue="1" operator="lessThan">
      <formula>0</formula>
    </cfRule>
  </conditionalFormatting>
  <conditionalFormatting sqref="M17:M19">
    <cfRule type="cellIs" dxfId="3" priority="4" stopIfTrue="1" operator="lessThan">
      <formula>0</formula>
    </cfRule>
  </conditionalFormatting>
  <conditionalFormatting sqref="O16:O19">
    <cfRule type="cellIs" dxfId="2" priority="2" stopIfTrue="1" operator="lessThan">
      <formula>0</formula>
    </cfRule>
  </conditionalFormatting>
  <conditionalFormatting sqref="J16:J19">
    <cfRule type="cellIs" dxfId="1" priority="1" stopIfTrue="1" operator="lessThan">
      <formula>0</formula>
    </cfRule>
  </conditionalFormatting>
  <printOptions horizontalCentered="1"/>
  <pageMargins left="0.11811023622047249" right="0.11811023622047249" top="0.35433070866141742" bottom="0.19685039370078741" header="0.31496062992125978" footer="0.31496062992125978"/>
  <pageSetup paperSize="9" scale="71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pageSetUpPr fitToPage="1"/>
  </sheetPr>
  <dimension ref="A1:AE60"/>
  <sheetViews>
    <sheetView showGridLines="0" zoomScaleNormal="100" workbookViewId="0">
      <pane xSplit="3" ySplit="5" topLeftCell="D33" activePane="bottomRight" state="frozen"/>
      <selection activeCell="K31" sqref="K31"/>
      <selection pane="topRight" activeCell="K31" sqref="K31"/>
      <selection pane="bottomLeft" activeCell="K31" sqref="K31"/>
      <selection pane="bottomRight" activeCell="X37" sqref="X37:Y47"/>
    </sheetView>
  </sheetViews>
  <sheetFormatPr baseColWidth="10" defaultColWidth="11.44140625" defaultRowHeight="15.6" outlineLevelCol="1" x14ac:dyDescent="0.25"/>
  <cols>
    <col min="1" max="1" width="3" style="662" customWidth="1"/>
    <col min="2" max="2" width="21.5546875" style="1155" hidden="1" customWidth="1"/>
    <col min="3" max="3" width="19.109375" style="708" customWidth="1"/>
    <col min="4" max="4" width="10.6640625" style="708" customWidth="1"/>
    <col min="5" max="5" width="14.88671875" style="708" customWidth="1"/>
    <col min="6" max="6" width="9.44140625" style="708" customWidth="1"/>
    <col min="7" max="7" width="15.21875" style="708" customWidth="1"/>
    <col min="8" max="8" width="10.33203125" style="708" bestFit="1" customWidth="1"/>
    <col min="9" max="9" width="14.44140625" style="708" customWidth="1"/>
    <col min="10" max="10" width="10.88671875" style="708" bestFit="1" customWidth="1"/>
    <col min="11" max="11" width="18.44140625" style="708" customWidth="1"/>
    <col min="12" max="12" width="10.88671875" style="708" bestFit="1" customWidth="1"/>
    <col min="13" max="13" width="18.44140625" style="708" customWidth="1"/>
    <col min="14" max="14" width="10" style="708" bestFit="1" customWidth="1"/>
    <col min="15" max="15" width="12.6640625" style="708" bestFit="1" customWidth="1"/>
    <col min="16" max="16" width="9.5546875" style="708" bestFit="1" customWidth="1"/>
    <col min="17" max="17" width="13.6640625" style="708" bestFit="1" customWidth="1"/>
    <col min="18" max="18" width="10.33203125" style="708" bestFit="1" customWidth="1"/>
    <col min="19" max="19" width="12.6640625" style="708" bestFit="1" customWidth="1"/>
    <col min="20" max="20" width="10.109375" style="708" bestFit="1" customWidth="1"/>
    <col min="21" max="21" width="13.6640625" style="708" bestFit="1" customWidth="1"/>
    <col min="22" max="22" width="17.21875" style="708" customWidth="1"/>
    <col min="23" max="23" width="13.77734375" style="708" bestFit="1" customWidth="1"/>
    <col min="24" max="24" width="11" style="708" customWidth="1" outlineLevel="1"/>
    <col min="25" max="25" width="19.44140625" style="708" customWidth="1" outlineLevel="1"/>
    <col min="26" max="26" width="6.44140625" style="662" customWidth="1" outlineLevel="1"/>
    <col min="27" max="27" width="19.77734375" style="662" customWidth="1" outlineLevel="1"/>
    <col min="28" max="30" width="11.44140625" style="662" customWidth="1"/>
    <col min="31" max="16384" width="11.44140625" style="662"/>
  </cols>
  <sheetData>
    <row r="1" spans="1:29" ht="25.95" customHeight="1" x14ac:dyDescent="0.25">
      <c r="A1" s="622" t="s">
        <v>340</v>
      </c>
      <c r="B1" s="1154"/>
      <c r="D1" s="929"/>
      <c r="E1" s="929"/>
      <c r="F1" s="930"/>
      <c r="G1" s="929"/>
      <c r="N1" s="929"/>
      <c r="O1" s="929"/>
      <c r="P1" s="930"/>
      <c r="Q1" s="929"/>
      <c r="V1" s="930"/>
      <c r="W1" s="929"/>
    </row>
    <row r="2" spans="1:29" x14ac:dyDescent="0.25">
      <c r="D2" s="929"/>
      <c r="E2" s="929"/>
      <c r="F2" s="930"/>
      <c r="G2" s="929"/>
      <c r="J2" s="1734">
        <f ca="1">TODAY()</f>
        <v>46134</v>
      </c>
      <c r="K2" s="1697"/>
      <c r="L2" s="1734">
        <f ca="1">TODAY()</f>
        <v>46134</v>
      </c>
      <c r="M2" s="1697"/>
      <c r="N2" s="929"/>
      <c r="O2" s="929"/>
      <c r="P2" s="930"/>
      <c r="Q2" s="929"/>
      <c r="T2" s="1734">
        <f ca="1">TODAY()</f>
        <v>46134</v>
      </c>
      <c r="U2" s="1697"/>
      <c r="V2" s="930"/>
      <c r="W2" s="929"/>
    </row>
    <row r="3" spans="1:29" x14ac:dyDescent="0.25">
      <c r="D3" s="929"/>
      <c r="E3" s="929"/>
      <c r="F3" s="930"/>
      <c r="G3" s="929"/>
      <c r="N3" s="929"/>
      <c r="O3" s="929"/>
      <c r="P3" s="930"/>
      <c r="Q3" s="929"/>
      <c r="V3" s="930"/>
      <c r="W3" s="929"/>
    </row>
    <row r="4" spans="1:29" x14ac:dyDescent="0.25">
      <c r="C4" s="666" t="s">
        <v>341</v>
      </c>
      <c r="D4" s="1729" t="s">
        <v>275</v>
      </c>
      <c r="E4" s="1730"/>
      <c r="F4" s="1731" t="s">
        <v>342</v>
      </c>
      <c r="G4" s="1730"/>
      <c r="H4" s="1732" t="s">
        <v>343</v>
      </c>
      <c r="I4" s="1730"/>
      <c r="J4" s="1733" t="s">
        <v>278</v>
      </c>
      <c r="K4" s="1730"/>
      <c r="L4" s="1740" t="s">
        <v>1235</v>
      </c>
      <c r="M4" s="1738"/>
      <c r="N4" s="1737" t="s">
        <v>344</v>
      </c>
      <c r="O4" s="1738"/>
      <c r="P4" s="1737" t="s">
        <v>345</v>
      </c>
      <c r="Q4" s="1738"/>
      <c r="R4" s="1737" t="s">
        <v>346</v>
      </c>
      <c r="S4" s="1738"/>
      <c r="T4" s="1737" t="s">
        <v>347</v>
      </c>
      <c r="U4" s="1738"/>
      <c r="V4" s="1739" t="s">
        <v>1228</v>
      </c>
      <c r="W4" s="1738"/>
      <c r="X4" s="931"/>
    </row>
    <row r="5" spans="1:29" x14ac:dyDescent="0.25">
      <c r="C5" s="625"/>
      <c r="D5" s="626" t="s">
        <v>7</v>
      </c>
      <c r="E5" s="669" t="s">
        <v>45</v>
      </c>
      <c r="F5" s="626" t="s">
        <v>7</v>
      </c>
      <c r="G5" s="669" t="s">
        <v>45</v>
      </c>
      <c r="H5" s="626" t="s">
        <v>7</v>
      </c>
      <c r="I5" s="669" t="s">
        <v>45</v>
      </c>
      <c r="J5" s="626" t="s">
        <v>7</v>
      </c>
      <c r="K5" s="669" t="s">
        <v>45</v>
      </c>
      <c r="L5" s="626" t="s">
        <v>7</v>
      </c>
      <c r="M5" s="669" t="s">
        <v>45</v>
      </c>
      <c r="N5" s="626" t="s">
        <v>7</v>
      </c>
      <c r="O5" s="669" t="s">
        <v>45</v>
      </c>
      <c r="P5" s="626" t="s">
        <v>7</v>
      </c>
      <c r="Q5" s="669" t="s">
        <v>45</v>
      </c>
      <c r="R5" s="626" t="s">
        <v>7</v>
      </c>
      <c r="S5" s="669" t="s">
        <v>45</v>
      </c>
      <c r="T5" s="626" t="s">
        <v>7</v>
      </c>
      <c r="U5" s="669" t="s">
        <v>45</v>
      </c>
      <c r="V5" s="626" t="s">
        <v>7</v>
      </c>
      <c r="W5" s="669" t="s">
        <v>45</v>
      </c>
    </row>
    <row r="6" spans="1:29" ht="14.4" customHeight="1" x14ac:dyDescent="0.25">
      <c r="C6" s="613" t="s">
        <v>348</v>
      </c>
      <c r="D6" s="932">
        <f>+RESUMEN!F13</f>
        <v>422.30242399999997</v>
      </c>
      <c r="E6" s="933">
        <f>SUM(E7:E11)</f>
        <v>633453.63599999994</v>
      </c>
      <c r="F6" s="934">
        <f>+RESUMEN!G13</f>
        <v>863.90620000000001</v>
      </c>
      <c r="G6" s="933">
        <f>SUM(G7:G11)</f>
        <v>1295859.3</v>
      </c>
      <c r="H6" s="934">
        <f>+RESUMEN!H13</f>
        <v>1206.84572</v>
      </c>
      <c r="I6" s="933">
        <f>SUM(I7:I11)</f>
        <v>1810268.58</v>
      </c>
      <c r="J6" s="934">
        <f>+RESUMEN!I13</f>
        <v>825.31752000000006</v>
      </c>
      <c r="K6" s="933">
        <f>SUM(K7:K11)</f>
        <v>1237976.28</v>
      </c>
      <c r="L6" s="934">
        <f>RESUMEN!J13</f>
        <v>489.06626</v>
      </c>
      <c r="M6" s="933">
        <f>SUM(M7:M11)</f>
        <v>733599.39</v>
      </c>
      <c r="N6" s="932">
        <f>+RESUMEN!K13</f>
        <v>514.36242399999992</v>
      </c>
      <c r="O6" s="933">
        <f>SUM(O7:O11)</f>
        <v>771543.63599999994</v>
      </c>
      <c r="P6" s="934">
        <f>+RESUMEN!L13</f>
        <v>789.57486249999999</v>
      </c>
      <c r="Q6" s="933">
        <f>SUM(Q7:Q11)</f>
        <v>1184362.29375</v>
      </c>
      <c r="R6" s="934">
        <f>+RESUMEN!M13</f>
        <v>495.91879999999998</v>
      </c>
      <c r="S6" s="933">
        <f>SUM(S7:S11)</f>
        <v>743878.2</v>
      </c>
      <c r="T6" s="934">
        <f>+RESUMEN!N13</f>
        <v>634.34</v>
      </c>
      <c r="U6" s="933">
        <f>SUM(U7:U11)</f>
        <v>951510</v>
      </c>
      <c r="V6" s="934">
        <f>+RESUMEN!O13</f>
        <v>644.18599999999992</v>
      </c>
      <c r="W6" s="933">
        <f>SUM(W7:W11)</f>
        <v>966279</v>
      </c>
      <c r="X6" s="935"/>
      <c r="Y6" s="935"/>
      <c r="AC6" s="936"/>
    </row>
    <row r="7" spans="1:29" x14ac:dyDescent="0.25">
      <c r="B7" s="1155" t="s">
        <v>94</v>
      </c>
      <c r="C7" s="670" t="s">
        <v>349</v>
      </c>
      <c r="D7" s="937">
        <f>+'SOJA 1º'!E45</f>
        <v>191.28</v>
      </c>
      <c r="E7" s="938">
        <f>+'SOJA 1º'!G45</f>
        <v>286920</v>
      </c>
      <c r="F7" s="939">
        <f>+TRIGO!E28+Soja2º!E37</f>
        <v>156.01519999999999</v>
      </c>
      <c r="G7" s="938">
        <f>+TRIGO!G28+Soja2º!G37</f>
        <v>234022.8</v>
      </c>
      <c r="H7" s="939">
        <f>+TRIGO!E28+'Maíz 2º'!E26</f>
        <v>136.93520000000001</v>
      </c>
      <c r="I7" s="938">
        <f>+TRIGO!G28+'Maíz 2º'!G26</f>
        <v>102082.8</v>
      </c>
      <c r="J7" s="939">
        <f>+'MAIZ 1º'!E34</f>
        <v>125.655</v>
      </c>
      <c r="K7" s="1571">
        <f>+'MAIZ 1º'!G34</f>
        <v>188482.5</v>
      </c>
      <c r="L7" s="1572">
        <f>+SORGO!E34</f>
        <v>85.584999999999994</v>
      </c>
      <c r="M7" s="1571">
        <f>+SORGO!G34</f>
        <v>128377.5</v>
      </c>
      <c r="N7" s="937">
        <f>+SUMIF(SOJAsobreCS!$B:$B,$B7,SOJAsobreCS!$E:$E)</f>
        <v>149.63999999999999</v>
      </c>
      <c r="O7" s="938">
        <f>+SUMIF(SOJAsobreCS!$B:$B,$B7,SOJAsobreCS!$G:$G)</f>
        <v>224460</v>
      </c>
      <c r="P7" s="937">
        <f>+SUMIF(MAIZsobreCS!$B:$B,$B7,MAIZsobreCS!$E:$E)</f>
        <v>105.185</v>
      </c>
      <c r="Q7" s="938">
        <f>+SUMIF(MAIZsobreCS!$B:$B,$B7,MAIZsobreCS!$G:$G)</f>
        <v>157777.5</v>
      </c>
      <c r="R7" s="937">
        <f>+SUMIF(GIRASOL!$B:$B,$B7,GIRASOL!$E:$E)</f>
        <v>70.91</v>
      </c>
      <c r="S7" s="938">
        <f>+SUMIF(GIRASOL!$B:$B,$B7,GIRASOL!$G:$G)</f>
        <v>106365</v>
      </c>
      <c r="T7" s="937">
        <f>+SUMIF(MANI!$B:$B,$B7,MANI!$E:$E)</f>
        <v>165.34</v>
      </c>
      <c r="U7" s="938">
        <f>+SUMIF(MANI!$B:$B,$B7,MANI!$G:$G)</f>
        <v>248010</v>
      </c>
      <c r="V7" s="939">
        <f>Camelina!$E$30+Soja2º!E37</f>
        <v>165.92500000000001</v>
      </c>
      <c r="W7" s="1475">
        <f>Camelina!G30+Soja2º!G37</f>
        <v>248887.5</v>
      </c>
      <c r="X7" s="940"/>
      <c r="Y7" s="935"/>
      <c r="AC7" s="936"/>
    </row>
    <row r="8" spans="1:29" ht="13.95" customHeight="1" x14ac:dyDescent="0.25">
      <c r="B8" s="1155" t="s">
        <v>100</v>
      </c>
      <c r="C8" s="670" t="s">
        <v>350</v>
      </c>
      <c r="D8" s="937">
        <f>+'SOJA 1º'!E51</f>
        <v>30.1</v>
      </c>
      <c r="E8" s="938">
        <f>+'SOJA 1º'!G51</f>
        <v>45150</v>
      </c>
      <c r="F8" s="939">
        <f>+TRIGO!E34+Soja2º!E43</f>
        <v>302</v>
      </c>
      <c r="G8" s="938">
        <f>+TRIGO!G34+Soja2º!G43</f>
        <v>453000</v>
      </c>
      <c r="H8" s="939">
        <f>+TRIGO!E34+'Maíz 2º'!E31</f>
        <v>407.185</v>
      </c>
      <c r="I8" s="938">
        <f>+TRIGO!G34+'Maíz 2º'!G31</f>
        <v>610777.5</v>
      </c>
      <c r="J8" s="939">
        <f>+'MAIZ 1º'!E39</f>
        <v>363.5</v>
      </c>
      <c r="K8" s="1571">
        <f>+'MAIZ 1º'!G39</f>
        <v>545250</v>
      </c>
      <c r="L8" s="1572">
        <f>+SORGO!E39</f>
        <v>244.5</v>
      </c>
      <c r="M8" s="1571">
        <f>+SORGO!G39</f>
        <v>366750</v>
      </c>
      <c r="N8" s="937">
        <f>+SUMIF(SOJAsobreCS!$B:$B,$B8,SOJAsobreCS!$E:$E)</f>
        <v>88</v>
      </c>
      <c r="O8" s="938">
        <f>+SUMIF(SOJAsobreCS!$B:$B,$B8,SOJAsobreCS!$G:$G)</f>
        <v>132000</v>
      </c>
      <c r="P8" s="937">
        <f>+SUMIF(MAIZsobreCS!$B:$B,$B8,MAIZsobreCS!$E:$E)</f>
        <v>282</v>
      </c>
      <c r="Q8" s="938">
        <f>+SUMIF(MAIZsobreCS!$B:$B,$B8,MAIZsobreCS!$G:$G)</f>
        <v>423000</v>
      </c>
      <c r="R8" s="937">
        <f>+SUMIF(GIRASOL!$B:$B,$B8,GIRASOL!$E:$E)</f>
        <v>142.30000000000001</v>
      </c>
      <c r="S8" s="938">
        <f>+SUMIF(GIRASOL!$B:$B,$B8,GIRASOL!$G:$G)</f>
        <v>213450</v>
      </c>
      <c r="T8" s="937">
        <f>+MANI!E46</f>
        <v>0</v>
      </c>
      <c r="U8" s="938">
        <f>+MANI!G46</f>
        <v>0</v>
      </c>
      <c r="V8" s="939">
        <f>+Camelina!$E$36+Soja2º!E43</f>
        <v>151</v>
      </c>
      <c r="W8" s="938">
        <f>+Camelina!G36+Soja2º!G43</f>
        <v>226500</v>
      </c>
      <c r="X8" s="935"/>
      <c r="Y8" s="935"/>
      <c r="AC8" s="936"/>
    </row>
    <row r="9" spans="1:29" ht="13.95" customHeight="1" thickBot="1" x14ac:dyDescent="0.3">
      <c r="B9" s="1603" t="s">
        <v>1212</v>
      </c>
      <c r="C9" s="670" t="s">
        <v>351</v>
      </c>
      <c r="D9" s="937">
        <f>+'SOJA 1º'!E53*'SOJA 1º'!C53</f>
        <v>76</v>
      </c>
      <c r="E9" s="938">
        <f>+'SOJA 1º'!G53</f>
        <v>114000</v>
      </c>
      <c r="F9" s="939">
        <f>+TRIGO!E36*TRIGO!C36+Soja2º!C45*Soja2º!E45</f>
        <v>165</v>
      </c>
      <c r="G9" s="938">
        <f>+TRIGO!G36+Soja2º!G45</f>
        <v>247500</v>
      </c>
      <c r="H9" s="939">
        <f>+'Maíz 2º'!E33*'Maíz 2º'!C33+TRIGO!C36*TRIGO!E36</f>
        <v>241</v>
      </c>
      <c r="I9" s="938">
        <f>+'Maíz 2º'!G33+TRIGO!G36</f>
        <v>361500</v>
      </c>
      <c r="J9" s="937">
        <f>+'MAIZ 1º'!E43</f>
        <v>190</v>
      </c>
      <c r="K9" s="1571">
        <f>'MAIZ 1º'!G41</f>
        <v>285000</v>
      </c>
      <c r="L9" s="1573">
        <f>SORGO!E43</f>
        <v>59.400000000000013</v>
      </c>
      <c r="M9" s="1571">
        <f>SORGO!G41</f>
        <v>89100.000000000015</v>
      </c>
      <c r="N9" s="937">
        <f>SOJAsobreCS!E53</f>
        <v>141.80000000000001</v>
      </c>
      <c r="O9" s="938">
        <f>+SUMIF(SOJAsobreCS!$B:$B,$B9,SOJAsobreCS!$G:$G)</f>
        <v>212700</v>
      </c>
      <c r="P9" s="937">
        <f>+MAIZsobreCS!E45</f>
        <v>236.8</v>
      </c>
      <c r="Q9" s="938">
        <f>+SUMIF(MAIZsobreCS!$B:$B,$B9,MAIZsobreCS!$G:$G)</f>
        <v>355200</v>
      </c>
      <c r="R9" s="937">
        <f>+SUMIF(GIRASOL!$B:$B,$B9,GIRASOL!$E:$E)</f>
        <v>82.5</v>
      </c>
      <c r="S9" s="938">
        <f>+SUMIF(GIRASOL!$B:$B,$B9,GIRASOL!$G:$G)</f>
        <v>123750</v>
      </c>
      <c r="T9" s="937">
        <f>+MANI!E50</f>
        <v>225</v>
      </c>
      <c r="U9" s="938">
        <f>+SUMIF(MANI!$B:$B,$B9,MANI!$G:$G)</f>
        <v>337500</v>
      </c>
      <c r="V9" s="939">
        <f>+Camelina!E40+Soja2º!E46</f>
        <v>123.9</v>
      </c>
      <c r="W9" s="938">
        <f>+Camelina!G40+Soja2º!G46</f>
        <v>185850</v>
      </c>
      <c r="X9" s="935"/>
      <c r="Y9" s="935"/>
      <c r="AC9" s="936"/>
    </row>
    <row r="10" spans="1:29" ht="13.95" customHeight="1" x14ac:dyDescent="0.25">
      <c r="B10" s="1155" t="s">
        <v>105</v>
      </c>
      <c r="C10" s="670" t="s">
        <v>352</v>
      </c>
      <c r="D10" s="937">
        <f>+'SOJA 1º'!E60</f>
        <v>88</v>
      </c>
      <c r="E10" s="938">
        <f>+'SOJA 1º'!G60</f>
        <v>132000</v>
      </c>
      <c r="F10" s="939">
        <f>+TRIGO!E43+Soja2º!E51</f>
        <v>177</v>
      </c>
      <c r="G10" s="938">
        <f>+TRIGO!G43+Soja2º!G51</f>
        <v>265500</v>
      </c>
      <c r="H10" s="939">
        <f>+'Maíz 2º'!E40+TRIGO!E43</f>
        <v>420.4</v>
      </c>
      <c r="I10" s="938">
        <f>+'Maíz 2º'!G40+TRIGO!G43</f>
        <v>630600</v>
      </c>
      <c r="J10" s="939">
        <f>+'MAIZ 1º'!E48</f>
        <v>105</v>
      </c>
      <c r="K10" s="1571">
        <f>+'MAIZ 1º'!G48</f>
        <v>157500</v>
      </c>
      <c r="L10" s="1572">
        <f>+SORGO!E48</f>
        <v>138.4</v>
      </c>
      <c r="M10" s="1571">
        <f>SORGO!G48</f>
        <v>118500</v>
      </c>
      <c r="N10" s="937">
        <f>+SUMIF(SOJAsobreCS!$B:$B,$B10,SOJAsobreCS!$E:$E)</f>
        <v>98</v>
      </c>
      <c r="O10" s="938">
        <f>+SUMIF(SOJAsobreCS!$B:$B,$B10,SOJAsobreCS!$G:$G)</f>
        <v>147000</v>
      </c>
      <c r="P10" s="937">
        <f>+MAIZsobreCS!E51</f>
        <v>127</v>
      </c>
      <c r="Q10" s="938">
        <f>+SUMIF(MAIZsobreCS!$B:$B,$B10,MAIZsobreCS!$G:$G)</f>
        <v>190500</v>
      </c>
      <c r="R10" s="937">
        <f>+SUMIF(GIRASOL!$B:$B,$B10,GIRASOL!$E:$E)</f>
        <v>182.5</v>
      </c>
      <c r="S10" s="938">
        <f>+SUMIF(GIRASOL!$B:$B,$B10,GIRASOL!$G:$G)</f>
        <v>273750</v>
      </c>
      <c r="T10" s="937">
        <f>+SUMIF(MANI!$B:$B,$B10,MANI!$E:$E)</f>
        <v>244</v>
      </c>
      <c r="U10" s="938">
        <f>+SUMIF(MANI!$B:$B,$B10,MANI!$G:$G)</f>
        <v>366000</v>
      </c>
      <c r="V10" s="939">
        <f>Camelina!E45+Soja2º!E51</f>
        <v>150</v>
      </c>
      <c r="W10" s="938">
        <f>+Camelina!G45+Soja2º!G51</f>
        <v>225000</v>
      </c>
      <c r="X10" s="935"/>
      <c r="Y10" s="935"/>
    </row>
    <row r="11" spans="1:29" ht="13.95" customHeight="1" x14ac:dyDescent="0.25">
      <c r="B11" s="1155" t="s">
        <v>106</v>
      </c>
      <c r="C11" s="671" t="s">
        <v>353</v>
      </c>
      <c r="D11" s="941">
        <f>+'SOJA 1º'!G62/RESUMEN!Q15</f>
        <v>36.922423999999999</v>
      </c>
      <c r="E11" s="942">
        <f>+'SOJA 1º'!G62</f>
        <v>55383.635999999999</v>
      </c>
      <c r="F11" s="943">
        <f>(TRIGO!G45+Soja2º!G53)/RESUMEN!Q15</f>
        <v>63.890999999999998</v>
      </c>
      <c r="G11" s="942">
        <f>(TRIGO!G45+Soja2º!G53)</f>
        <v>95836.5</v>
      </c>
      <c r="H11" s="943">
        <f>('Maíz 2º'!G42+TRIGO!G45)/RESUMEN!Q15</f>
        <v>70.205519999999993</v>
      </c>
      <c r="I11" s="942">
        <f>('Maíz 2º'!G42+TRIGO!G45)</f>
        <v>105308.28</v>
      </c>
      <c r="J11" s="943">
        <f>+'MAIZ 1º'!G50/RESUMEN!Q15</f>
        <v>41.162520000000001</v>
      </c>
      <c r="K11" s="1574">
        <f>+'MAIZ 1º'!G50</f>
        <v>61743.78</v>
      </c>
      <c r="L11" s="1575">
        <f>SORGO!G50/RESUMEN!Q15</f>
        <v>20.58126</v>
      </c>
      <c r="M11" s="1574">
        <f>SORGO!G50</f>
        <v>30871.89</v>
      </c>
      <c r="N11" s="941">
        <f>SUMIF(SOJAsobreCS!$B:$B,$B11,SOJAsobreCS!$G:$G)/RESUMEN!$Q15</f>
        <v>36.922423999999999</v>
      </c>
      <c r="O11" s="942">
        <f>+SUMIF(SOJAsobreCS!$B:$B,$B11,SOJAsobreCS!$G:$G)</f>
        <v>55383.635999999999</v>
      </c>
      <c r="P11" s="941">
        <f>SUMIF(MAIZsobreCS!$B:$B,$B11,MAIZsobreCS!$G:$G)/RESUMEN!$Q15</f>
        <v>38.589862499999995</v>
      </c>
      <c r="Q11" s="942">
        <f>+SUMIF(MAIZsobreCS!$B:$B,$B11,MAIZsobreCS!$G:$G)</f>
        <v>57884.793749999997</v>
      </c>
      <c r="R11" s="941">
        <f>SUMIF(GIRASOL!$B:$B,$B11,GIRASOL!$G:$G)/RESUMEN!$Q15</f>
        <v>17.7088</v>
      </c>
      <c r="S11" s="942">
        <f>+SUMIF(GIRASOL!$B:$B,$B11,GIRASOL!$G:$G)</f>
        <v>26563.200000000001</v>
      </c>
      <c r="T11" s="941">
        <f>SUMIF(MANI!$B:$B,$B11,MANI!$G:$G)/RESUMEN!$Q15</f>
        <v>0</v>
      </c>
      <c r="U11" s="942">
        <f>+SUMIF(MANI!$B:$B,$B11,MANI!$G:$G)</f>
        <v>0</v>
      </c>
      <c r="V11" s="943">
        <f>(+Camelina!G47+Soja2º!G53)/RESUMEN!Q15</f>
        <v>53.360999999999997</v>
      </c>
      <c r="W11" s="942">
        <f>Camelina!G47+Soja2º!G53</f>
        <v>80041.5</v>
      </c>
      <c r="X11" s="935"/>
      <c r="Y11" s="935"/>
    </row>
    <row r="12" spans="1:29" x14ac:dyDescent="0.25">
      <c r="D12" s="944">
        <f t="shared" ref="D12:U12" si="0">SUM(D7:D11)-D6</f>
        <v>0</v>
      </c>
      <c r="E12" s="944">
        <f t="shared" si="0"/>
        <v>0</v>
      </c>
      <c r="F12" s="944">
        <f t="shared" si="0"/>
        <v>0</v>
      </c>
      <c r="G12" s="944">
        <f t="shared" si="0"/>
        <v>0</v>
      </c>
      <c r="H12" s="944">
        <f t="shared" si="0"/>
        <v>68.879999999999882</v>
      </c>
      <c r="I12" s="944">
        <f t="shared" si="0"/>
        <v>0</v>
      </c>
      <c r="J12" s="944">
        <f t="shared" si="0"/>
        <v>0</v>
      </c>
      <c r="K12" s="944">
        <f t="shared" si="0"/>
        <v>0</v>
      </c>
      <c r="L12" s="944">
        <f t="shared" ref="L12:M12" si="1">SUM(L7:L11)-L6</f>
        <v>59.400000000000034</v>
      </c>
      <c r="M12" s="944">
        <f t="shared" si="1"/>
        <v>0</v>
      </c>
      <c r="N12" s="944">
        <f t="shared" si="0"/>
        <v>0</v>
      </c>
      <c r="O12" s="944">
        <f t="shared" si="0"/>
        <v>0</v>
      </c>
      <c r="P12" s="944">
        <f t="shared" si="0"/>
        <v>0</v>
      </c>
      <c r="Q12" s="944">
        <f t="shared" si="0"/>
        <v>0</v>
      </c>
      <c r="R12" s="944">
        <f t="shared" si="0"/>
        <v>0</v>
      </c>
      <c r="S12" s="944">
        <f t="shared" si="0"/>
        <v>0</v>
      </c>
      <c r="T12" s="944">
        <f t="shared" si="0"/>
        <v>0</v>
      </c>
      <c r="U12" s="944">
        <f t="shared" si="0"/>
        <v>0</v>
      </c>
      <c r="V12" s="944">
        <f t="shared" ref="V12:W12" si="2">SUM(V7:V11)-V6</f>
        <v>0</v>
      </c>
      <c r="W12" s="944">
        <f t="shared" si="2"/>
        <v>0</v>
      </c>
    </row>
    <row r="13" spans="1:29" x14ac:dyDescent="0.25">
      <c r="C13" s="667" t="s">
        <v>354</v>
      </c>
      <c r="D13" s="945">
        <f>+E13/RESUMEN!$Q$15</f>
        <v>544</v>
      </c>
      <c r="E13" s="946">
        <f>RESUMEN!F11*RESUMEN!Q15</f>
        <v>816000</v>
      </c>
      <c r="F13" s="947" t="s">
        <v>355</v>
      </c>
      <c r="G13" s="948">
        <f>+RESUMEN!F10</f>
        <v>18.719031014865113</v>
      </c>
      <c r="H13" s="949" t="s">
        <v>356</v>
      </c>
      <c r="I13" s="948">
        <f>+RESUMEN!H10</f>
        <v>29.739235016491428</v>
      </c>
      <c r="J13" s="949" t="s">
        <v>357</v>
      </c>
      <c r="K13" s="948">
        <f>+RESUMEN!I10</f>
        <v>33.304083423463872</v>
      </c>
      <c r="L13" s="949" t="s">
        <v>1240</v>
      </c>
      <c r="M13" s="948">
        <f>+RESUMEN!J10</f>
        <v>33.304083423463872</v>
      </c>
      <c r="N13" s="949" t="s">
        <v>223</v>
      </c>
      <c r="O13" s="948"/>
      <c r="P13" s="949" t="s">
        <v>223</v>
      </c>
      <c r="Q13" s="948"/>
      <c r="R13" s="949" t="s">
        <v>223</v>
      </c>
      <c r="S13" s="948"/>
      <c r="T13" s="949" t="s">
        <v>223</v>
      </c>
      <c r="U13" s="948"/>
      <c r="V13" s="947" t="s">
        <v>1229</v>
      </c>
      <c r="W13" s="948">
        <f>+RESUMEN!O10</f>
        <v>11.413625014861491</v>
      </c>
      <c r="X13" s="940"/>
    </row>
    <row r="14" spans="1:29" x14ac:dyDescent="0.25">
      <c r="D14" s="944"/>
      <c r="E14" s="944"/>
      <c r="F14" s="944"/>
      <c r="G14" s="944"/>
      <c r="H14" s="944"/>
      <c r="I14" s="944"/>
      <c r="J14" s="944"/>
      <c r="K14" s="944"/>
      <c r="L14" s="944"/>
      <c r="M14" s="944"/>
      <c r="N14" s="944"/>
      <c r="O14" s="944"/>
      <c r="P14" s="944"/>
      <c r="Q14" s="944"/>
      <c r="R14" s="944"/>
      <c r="S14" s="944"/>
      <c r="T14" s="944"/>
      <c r="U14" s="944"/>
      <c r="V14" s="944"/>
      <c r="W14" s="944"/>
    </row>
    <row r="15" spans="1:29" x14ac:dyDescent="0.25">
      <c r="C15" s="666" t="s">
        <v>358</v>
      </c>
      <c r="D15" s="1729" t="str">
        <f>+D4</f>
        <v>Soja 1º</v>
      </c>
      <c r="E15" s="1730"/>
      <c r="F15" s="1731" t="str">
        <f>+F4</f>
        <v>Trigo-Soja</v>
      </c>
      <c r="G15" s="1730"/>
      <c r="H15" s="1732" t="str">
        <f>+H4</f>
        <v>Trigo-Maíz</v>
      </c>
      <c r="I15" s="1730"/>
      <c r="J15" s="1733" t="str">
        <f>+J4</f>
        <v>Maíz</v>
      </c>
      <c r="K15" s="1730"/>
      <c r="L15" s="1740" t="str">
        <f>+L4</f>
        <v>Sorgo</v>
      </c>
      <c r="M15" s="1738"/>
      <c r="N15" s="1737" t="str">
        <f>+N4</f>
        <v>SOJAsobreCS</v>
      </c>
      <c r="O15" s="1738"/>
      <c r="P15" s="1737" t="str">
        <f>+P4</f>
        <v>MAIZsobreCS</v>
      </c>
      <c r="Q15" s="1738"/>
      <c r="R15" s="1737" t="str">
        <f>+R4</f>
        <v>Girasol</v>
      </c>
      <c r="S15" s="1738"/>
      <c r="T15" s="1737" t="str">
        <f>+T4</f>
        <v>Mani</v>
      </c>
      <c r="U15" s="1738"/>
      <c r="V15" s="1739" t="str">
        <f>+V4</f>
        <v xml:space="preserve">Camelina-Soja </v>
      </c>
      <c r="W15" s="1738"/>
    </row>
    <row r="16" spans="1:29" x14ac:dyDescent="0.25">
      <c r="C16" s="641"/>
      <c r="D16" s="640" t="str">
        <f>+D5</f>
        <v>dólares</v>
      </c>
      <c r="E16" s="668" t="str">
        <f>+E5</f>
        <v>pesos</v>
      </c>
      <c r="F16" s="640" t="str">
        <f>+F5</f>
        <v>dólares</v>
      </c>
      <c r="G16" s="668" t="str">
        <f>+G5</f>
        <v>pesos</v>
      </c>
      <c r="H16" s="640" t="str">
        <f>+H5</f>
        <v>dólares</v>
      </c>
      <c r="I16" s="668" t="str">
        <f>+I5</f>
        <v>pesos</v>
      </c>
      <c r="J16" s="640" t="str">
        <f>+J5</f>
        <v>dólares</v>
      </c>
      <c r="K16" s="668" t="str">
        <f>+K5</f>
        <v>pesos</v>
      </c>
      <c r="L16" s="640" t="str">
        <f>+L5</f>
        <v>dólares</v>
      </c>
      <c r="M16" s="668" t="str">
        <f>+M5</f>
        <v>pesos</v>
      </c>
      <c r="N16" s="640" t="str">
        <f>+N5</f>
        <v>dólares</v>
      </c>
      <c r="O16" s="668" t="str">
        <f>+O5</f>
        <v>pesos</v>
      </c>
      <c r="P16" s="640" t="str">
        <f>+P5</f>
        <v>dólares</v>
      </c>
      <c r="Q16" s="668" t="str">
        <f>+Q5</f>
        <v>pesos</v>
      </c>
      <c r="R16" s="640" t="str">
        <f>+R5</f>
        <v>dólares</v>
      </c>
      <c r="S16" s="668" t="str">
        <f>+S5</f>
        <v>pesos</v>
      </c>
      <c r="T16" s="640" t="str">
        <f>+T5</f>
        <v>dólares</v>
      </c>
      <c r="U16" s="668" t="str">
        <f>+U5</f>
        <v>pesos</v>
      </c>
      <c r="V16" s="640" t="str">
        <f>+V5</f>
        <v>dólares</v>
      </c>
      <c r="W16" s="668" t="str">
        <f>+W5</f>
        <v>pesos</v>
      </c>
    </row>
    <row r="17" spans="3:31" x14ac:dyDescent="0.25">
      <c r="C17" s="950" t="s">
        <v>359</v>
      </c>
      <c r="D17" s="937">
        <f>+E17/RESUMEN!$Q$15</f>
        <v>1409.76</v>
      </c>
      <c r="E17" s="951">
        <f>(RESUMEN!F5+'SOJA 1º'!D8)*RESUMEN!F8</f>
        <v>2114640</v>
      </c>
      <c r="F17" s="952">
        <f>+G17/RESUMEN!$Q$15</f>
        <v>925.15499999999997</v>
      </c>
      <c r="G17" s="951">
        <f>(RESUMEN!G5+TRIGO!D8)*RESUMEN!G8</f>
        <v>1387732.5</v>
      </c>
      <c r="H17" s="952">
        <f>+I17/RESUMEN!$Q$15</f>
        <v>925.15499999999997</v>
      </c>
      <c r="I17" s="951">
        <f>(RESUMEN!H5+TRIGO!D8)*RESUMEN!H8</f>
        <v>1387732.5</v>
      </c>
      <c r="J17" s="952">
        <f>+K17/RESUMEN!$Q$15</f>
        <v>2139.1149999999998</v>
      </c>
      <c r="K17" s="1576">
        <f>(RESUMEN!$I$5+'SOJA 1º'!$D$8)*RESUMEN!I8</f>
        <v>3208672.5</v>
      </c>
      <c r="L17" s="1577">
        <f>+M17/RESUMEN!$Q$15</f>
        <v>1302.07</v>
      </c>
      <c r="M17" s="1576">
        <f>(RESUMEN!J5+'SOJA 1º'!$D$8)*RESUMEN!J8</f>
        <v>1953105</v>
      </c>
      <c r="N17" s="937">
        <f>+O17/RESUMEN!$Q$15</f>
        <v>1409.76</v>
      </c>
      <c r="O17" s="951">
        <f>(RESUMEN!K5+'SOJA 1º'!$D$8)*RESUMEN!K8</f>
        <v>2114640</v>
      </c>
      <c r="P17" s="952">
        <f>+Q17/RESUMEN!$Q$15</f>
        <v>1674.09</v>
      </c>
      <c r="Q17" s="951">
        <f>(RESUMEN!$I$5+'SOJA 1º'!$D$8)*RESUMEN!L8</f>
        <v>2511135</v>
      </c>
      <c r="R17" s="952">
        <f>+S17/RESUMEN!$Q$15</f>
        <v>1253.1199999999999</v>
      </c>
      <c r="S17" s="951">
        <f>(RESUMEN!M5+'SOJA 1º'!$D$8)*RESUMEN!M8</f>
        <v>1879680</v>
      </c>
      <c r="T17" s="952">
        <f>+U17/RESUMEN!$Q$15</f>
        <v>2062.7530000000002</v>
      </c>
      <c r="U17" s="951">
        <f>(RESUMEN!$N$5+'SOJA 1º'!$D$8)*RESUMEN!N8</f>
        <v>3094129.5</v>
      </c>
      <c r="V17" s="952">
        <f>+W17/RESUMEN!$Q$15</f>
        <v>549.21900000000005</v>
      </c>
      <c r="W17" s="951">
        <f>(RESUMEN!O5+Camelina!$D$8)*RESUMEN!O8</f>
        <v>823828.5</v>
      </c>
      <c r="X17" s="642"/>
      <c r="AC17" s="953">
        <f>+RESUMEN!F4</f>
        <v>48000</v>
      </c>
      <c r="AD17" s="953">
        <f>+AC17*AC19</f>
        <v>2160000</v>
      </c>
      <c r="AE17" s="953">
        <f>+AD17*0.979</f>
        <v>2114640</v>
      </c>
    </row>
    <row r="18" spans="3:31" x14ac:dyDescent="0.25">
      <c r="C18" s="954" t="s">
        <v>359</v>
      </c>
      <c r="D18" s="955">
        <f>+E18/RESUMEN!$Q$15</f>
        <v>0</v>
      </c>
      <c r="E18" s="956"/>
      <c r="F18" s="957">
        <f>+G18/RESUMEN!$Q$15</f>
        <v>1096.48</v>
      </c>
      <c r="G18" s="956">
        <f>(RESUMEN!F5+Soja2º!D8)*RESUMEN!G9</f>
        <v>1644720</v>
      </c>
      <c r="H18" s="957">
        <f>+I18/RESUMEN!$Q$15</f>
        <v>1395.075</v>
      </c>
      <c r="I18" s="956">
        <f>(RESUMEN!I5+'Maíz 2º'!D8)*RESUMEN!H9</f>
        <v>2092612.5</v>
      </c>
      <c r="J18" s="957">
        <f>+K18/RESUMEN!$Q$15</f>
        <v>0</v>
      </c>
      <c r="K18" s="1578"/>
      <c r="L18" s="1579">
        <f>+M18/RESUMEN!$Q$15</f>
        <v>0</v>
      </c>
      <c r="M18" s="1578"/>
      <c r="N18" s="955"/>
      <c r="O18" s="956"/>
      <c r="P18" s="957"/>
      <c r="Q18" s="956"/>
      <c r="R18" s="957"/>
      <c r="S18" s="956"/>
      <c r="T18" s="957"/>
      <c r="U18" s="956"/>
      <c r="V18" s="957">
        <f>+W18/RESUMEN!$Q$15</f>
        <v>1253.1199999999999</v>
      </c>
      <c r="W18" s="956">
        <f>(RESUMEN!F5+Soja2º!D8)*RESUMEN!O9</f>
        <v>1879680</v>
      </c>
      <c r="X18" s="642"/>
      <c r="AC18" s="953">
        <f>+RESUMEN!F5</f>
        <v>43592</v>
      </c>
      <c r="AD18" s="953">
        <f>+AC18*AC19</f>
        <v>1961640</v>
      </c>
    </row>
    <row r="19" spans="3:31" x14ac:dyDescent="0.25">
      <c r="C19" s="950" t="s">
        <v>360</v>
      </c>
      <c r="D19" s="937">
        <f>+E19/RESUMEN!$Q$15</f>
        <v>-91.543199999999999</v>
      </c>
      <c r="E19" s="951">
        <f>-RESUMEN!F8*RESUMEN!F5*'SOJA 1º'!C71/100</f>
        <v>-137314.79999999999</v>
      </c>
      <c r="F19" s="952">
        <f>+G19/RESUMEN!$Q$15</f>
        <v>-147.22413333333333</v>
      </c>
      <c r="G19" s="951">
        <f>-RESUMEN!G8*RESUMEN!G5*TRIGO!C51/100-RESUMEN!G9*RESUMEN!F5*Soja2º!C58/100</f>
        <v>-220836.2</v>
      </c>
      <c r="H19" s="952">
        <f>+I19/RESUMEN!$Q$15</f>
        <v>-163.85840000000002</v>
      </c>
      <c r="I19" s="951">
        <f>-RESUMEN!G8*RESUMEN!G5*TRIGO!C51/100-RESUMEN!H9*RESUMEN!I5*'Maíz 2º'!C48/100</f>
        <v>-245787.6</v>
      </c>
      <c r="J19" s="952">
        <f>+K19/RESUMEN!$Q$15</f>
        <v>-150.27586666666667</v>
      </c>
      <c r="K19" s="1576">
        <f>-RESUMEN!I8*RESUMEN!I5*'MAIZ 1º'!C56/100</f>
        <v>-225413.8</v>
      </c>
      <c r="L19" s="1577">
        <f>+M19/RESUMEN!$Q$15</f>
        <v>-91.47226666666667</v>
      </c>
      <c r="M19" s="1576">
        <f>-RESUMEN!J8*RESUMEN!J5*SORGO!C56/100</f>
        <v>-137208.4</v>
      </c>
      <c r="N19" s="937">
        <f>+O19/RESUMEN!$Q$15</f>
        <v>-104.6208</v>
      </c>
      <c r="O19" s="951">
        <f>-RESUMEN!K8*RESUMEN!K5*SOJAsobreCS!$C$70/100</f>
        <v>-156931.20000000001</v>
      </c>
      <c r="P19" s="952">
        <f>+Q19/RESUMEN!$Q$15</f>
        <v>-110.25675</v>
      </c>
      <c r="Q19" s="951">
        <f>-RESUMEN!L8*RESUMEN!L5*MAIZsobreCS!C59/100</f>
        <v>-165385.125</v>
      </c>
      <c r="R19" s="952">
        <f>+S19/RESUMEN!$Q$15</f>
        <v>-94.446933333333334</v>
      </c>
      <c r="S19" s="951">
        <f>-RESUMEN!M8*RESUMEN!M5*GIRASOL!C61/100</f>
        <v>-141670.39999999999</v>
      </c>
      <c r="T19" s="952">
        <f>+U19/RESUMEN!$Q$15</f>
        <v>-158.67357333333334</v>
      </c>
      <c r="U19" s="951">
        <f>-RESUMEN!N8*RESUMEN!N5*MANI!C69/100</f>
        <v>-238010.36</v>
      </c>
      <c r="V19" s="952">
        <f>+W19/RESUMEN!$Q$15</f>
        <v>-155.91054666666668</v>
      </c>
      <c r="W19" s="951">
        <f>-RESUMEN!O8*RESUMEN!O5*Camelina!C52/100-RESUMEN!O9*RESUMEN!F5*Soja2º!C58/100</f>
        <v>-233865.82</v>
      </c>
      <c r="X19" s="642"/>
      <c r="AC19" s="953">
        <f>+RESUMEN!F8</f>
        <v>45</v>
      </c>
      <c r="AD19" s="953"/>
    </row>
    <row r="20" spans="3:31" x14ac:dyDescent="0.25">
      <c r="C20" s="950" t="s">
        <v>361</v>
      </c>
      <c r="D20" s="937">
        <f>+E20/RESUMEN!$Q$15</f>
        <v>-36</v>
      </c>
      <c r="E20" s="951">
        <f>-RESUMEN!F8*('SOJA 1º'!C74+'SOJA 1º'!C75)</f>
        <v>-54000</v>
      </c>
      <c r="F20" s="952">
        <f>+G20/RESUMEN!$Q$15</f>
        <v>-64.900000000000006</v>
      </c>
      <c r="G20" s="951">
        <f>-(RESUMEN!G8)*(TRIGO!C54+TRIGO!C55)-RESUMEN!G9*(Soja2º!C62+Soja2º!C61)</f>
        <v>-97350</v>
      </c>
      <c r="H20" s="952">
        <f>+I20/RESUMEN!$Q$15</f>
        <v>-96.9</v>
      </c>
      <c r="I20" s="951">
        <f>-(RESUMEN!G8)*(TRIGO!C54+TRIGO!C55)-RESUMEN!H9*('Maíz 2º'!C51+'Maíz 2º'!C52)</f>
        <v>-145350</v>
      </c>
      <c r="J20" s="952">
        <f>+K20/RESUMEN!$Q$15</f>
        <v>-76.666666666666671</v>
      </c>
      <c r="K20" s="1576">
        <f>-RESUMEN!I8*('MAIZ 1º'!C59+'MAIZ 1º'!C60)</f>
        <v>-115000</v>
      </c>
      <c r="L20" s="1577">
        <f>+M20/RESUMEN!$Q$15</f>
        <v>0</v>
      </c>
      <c r="M20" s="1576">
        <f>-RESUMEN!J8*(SORGO!C59+SORGO!C60)</f>
        <v>0</v>
      </c>
      <c r="N20" s="937">
        <f>+O20/RESUMEN!$Q$15</f>
        <v>-2.5499999999999998</v>
      </c>
      <c r="O20" s="951">
        <f>-RESUMEN!K8*(SUMIF(SOJAsobreCS!B:B,"Flete Corto",SOJAsobreCS!C:C)+SUMIF(SOJAsobreCS!B:B,"Paritaria",SOJAsobreCS!C:C))</f>
        <v>-3825</v>
      </c>
      <c r="P20" s="952">
        <f>+Q20/RESUMEN!$Q$15</f>
        <v>-6.9</v>
      </c>
      <c r="Q20" s="951">
        <f>-RESUMEN!L8*(SUMIF(MAIZsobreCS!B:B,"Flete Corto",MAIZsobreCS!C:C)+SUMIF(MAIZsobreCS!B:B,"Paritaria",MAIZsobreCS!C:C))</f>
        <v>-10350</v>
      </c>
      <c r="R20" s="952">
        <f>+S20/RESUMEN!$Q$15</f>
        <v>0</v>
      </c>
      <c r="S20" s="951">
        <f>-RESUMEN!M8*(SUMIF(GIRASOL!B:B,"Flete Corto",GIRASOL!C:C)+SUMIF(GIRASOL!B:B,"Paritaria",GIRASOL!C:C))</f>
        <v>0</v>
      </c>
      <c r="T20" s="952">
        <f>+U20/RESUMEN!$Q$15</f>
        <v>-1.9833333333333334</v>
      </c>
      <c r="U20" s="951">
        <f>-RESUMEN!N8*(SUMIF(MANI!B:B,"Flete Corto",MANI!C:C)+SUMIF(MANI!B:B,"Paritaria",MANI!C:C))</f>
        <v>-2975</v>
      </c>
      <c r="V20" s="952">
        <f>+W20/RESUMEN!$Q$15</f>
        <v>-32</v>
      </c>
      <c r="W20" s="951">
        <f>-(RESUMEN!O8)*(Camelina!C55+Camelina!C56)-RESUMEN!O9*(Soja2º!C61+Soja2º!C62)</f>
        <v>-48000</v>
      </c>
      <c r="X20" s="642"/>
    </row>
    <row r="21" spans="3:31" x14ac:dyDescent="0.25">
      <c r="C21" s="958" t="s">
        <v>362</v>
      </c>
      <c r="D21" s="941">
        <f>+E21/RESUMEN!$Q$15</f>
        <v>-102</v>
      </c>
      <c r="E21" s="959">
        <f>-RESUMEN!F8*'SOJA 1º'!D8</f>
        <v>-153000</v>
      </c>
      <c r="F21" s="960">
        <f>+G21/RESUMEN!$Q$15</f>
        <v>-181.33333333333334</v>
      </c>
      <c r="G21" s="959">
        <f>-RESUMEN!G8*TRIGO!D8-RESUMEN!G9*Soja2º!D8</f>
        <v>-272000</v>
      </c>
      <c r="H21" s="960">
        <f>+I21/RESUMEN!$Q$15</f>
        <v>-272</v>
      </c>
      <c r="I21" s="959">
        <f>-RESUMEN!H8*TRIGO!D8-RESUMEN!H9*'Maíz 2º'!D8</f>
        <v>-408000</v>
      </c>
      <c r="J21" s="960">
        <f>+K21/RESUMEN!$Q$15</f>
        <v>-260.66666666666669</v>
      </c>
      <c r="K21" s="1580">
        <f>-RESUMEN!I8*'MAIZ 1º'!D8</f>
        <v>-391000</v>
      </c>
      <c r="L21" s="1581">
        <f>+M21/RESUMEN!$Q$15</f>
        <v>-158.66666666666666</v>
      </c>
      <c r="M21" s="1580">
        <f>-RESUMEN!J8*SORGO!D8</f>
        <v>-238000</v>
      </c>
      <c r="N21" s="941">
        <f>+O21/RESUMEN!$Q$15</f>
        <v>-102</v>
      </c>
      <c r="O21" s="959">
        <f>-RESUMEN!K8*SUMIF(SOJAsobreCS!B:B,"Flete Largo",SOJAsobreCS!D:D)</f>
        <v>-153000</v>
      </c>
      <c r="P21" s="960">
        <f>+Q21/RESUMEN!$Q$15</f>
        <v>-204</v>
      </c>
      <c r="Q21" s="959">
        <f>-RESUMEN!L8*SUMIF(MAIZsobreCS!B:B,"Flete Largo",MAIZsobreCS!D:D)</f>
        <v>-306000</v>
      </c>
      <c r="R21" s="960">
        <f>+S21/RESUMEN!$Q$15</f>
        <v>-72.533333333333331</v>
      </c>
      <c r="S21" s="959">
        <f>-RESUMEN!M8*SUMIF(GIRASOL!B:B,"Flete Largo",GIRASOL!D:D)</f>
        <v>-108800</v>
      </c>
      <c r="T21" s="960">
        <f>+U21/RESUMEN!$Q$15</f>
        <v>-79.333333333333329</v>
      </c>
      <c r="U21" s="959">
        <f>-RESUMEN!N8*SUMIF(MANI!B:B,"Flete Largo",MANI!D:D)</f>
        <v>-119000</v>
      </c>
      <c r="V21" s="960">
        <f>+W21/RESUMEN!$Q$15</f>
        <v>-115.6</v>
      </c>
      <c r="W21" s="959">
        <f>-RESUMEN!O8*Camelina!D8-RESUMEN!O9*Soja2º!D8</f>
        <v>-173400</v>
      </c>
      <c r="X21" s="642"/>
      <c r="AC21" s="953"/>
      <c r="AD21" s="953"/>
    </row>
    <row r="22" spans="3:31" ht="16.2" customHeight="1" thickBot="1" x14ac:dyDescent="0.3">
      <c r="D22" s="937"/>
      <c r="N22" s="937"/>
    </row>
    <row r="23" spans="3:31" x14ac:dyDescent="0.25">
      <c r="C23" s="664" t="s">
        <v>363</v>
      </c>
      <c r="D23" s="961">
        <f>SUM(D17:D22)-D13-D6</f>
        <v>213.91437599999995</v>
      </c>
      <c r="E23" s="962">
        <f>SUM(E17:E22)-E6-E13</f>
        <v>320871.56400000001</v>
      </c>
      <c r="F23" s="961">
        <f>SUM(F17:F22)-$D$13-$F$6</f>
        <v>220.27133333333325</v>
      </c>
      <c r="G23" s="962">
        <f>SUM(G17:G22)-G6-E13</f>
        <v>330406.99999999977</v>
      </c>
      <c r="H23" s="961">
        <f>SUM(H17:H22)-D13-H6</f>
        <v>36.625879999999825</v>
      </c>
      <c r="I23" s="962">
        <f>SUM(I17:I22)-I6-E13</f>
        <v>54938.819999999832</v>
      </c>
      <c r="J23" s="961">
        <f>SUM(J17:J22)-$D$13-J6</f>
        <v>282.18827999999962</v>
      </c>
      <c r="K23" s="963">
        <f>SUM(K17:K22)-K6-$E$13</f>
        <v>423282.42000000016</v>
      </c>
      <c r="L23" s="961">
        <f>SUM(L17:L22)-$D$13-L6</f>
        <v>18.864806666666539</v>
      </c>
      <c r="M23" s="963">
        <f>SUM(M17:M22)-M6-$E$13</f>
        <v>28297.210000000079</v>
      </c>
      <c r="N23" s="961">
        <f>SUM(N17:N22)-$D$13-N6</f>
        <v>142.2267760000002</v>
      </c>
      <c r="O23" s="963">
        <f>SUM(O17:O22)-O6-$E$13</f>
        <v>213340.16400000011</v>
      </c>
      <c r="P23" s="961">
        <f>SUM(P17:P22)-$D$13-P6</f>
        <v>19.358387499999822</v>
      </c>
      <c r="Q23" s="963">
        <f>SUM(Q17:Q22)-Q6-$E$13</f>
        <v>29037.581250000047</v>
      </c>
      <c r="R23" s="961">
        <f>SUM(R17:R22)-$D$13-R6</f>
        <v>46.220933333333221</v>
      </c>
      <c r="S23" s="963">
        <f>SUM(S17:S22)-S6-$E$13</f>
        <v>69331.40000000014</v>
      </c>
      <c r="T23" s="961">
        <f>SUM(T17:T22)-$D$13-T6</f>
        <v>644.42276000000027</v>
      </c>
      <c r="U23" s="963">
        <f>SUM(U17:U22)-U6-$E$13</f>
        <v>966634.14000000013</v>
      </c>
      <c r="V23" s="961">
        <f>SUM(V17:V22)-$D$13-$V$6</f>
        <v>310.64245333333338</v>
      </c>
      <c r="W23" s="962">
        <f>SUM(W17:W22)-W6-U13</f>
        <v>1281963.6800000002</v>
      </c>
      <c r="X23" s="964"/>
    </row>
    <row r="24" spans="3:31" x14ac:dyDescent="0.25">
      <c r="C24" s="665" t="s">
        <v>364</v>
      </c>
      <c r="D24" s="965">
        <f>+E24/RESUMEN!$Q$15</f>
        <v>0</v>
      </c>
      <c r="E24" s="966">
        <f>(-RESUMEN!F15*RESUMEN!Q15-RESUMEN!F12*RESUMEN!F5)/RESUMEN!Q15</f>
        <v>0</v>
      </c>
      <c r="F24" s="967">
        <f>+G24/RESUMEN!$Q$15</f>
        <v>0</v>
      </c>
      <c r="G24" s="966">
        <f>(-RESUMEN!G15*RESUMEN!Q15-RESUMEN!G12*RESUMEN!F5)/RESUMEN!Q15</f>
        <v>0</v>
      </c>
      <c r="H24" s="967">
        <f>+I24/RESUMEN!$Q$15</f>
        <v>0</v>
      </c>
      <c r="I24" s="966">
        <f>(-RESUMEN!H15*RESUMEN!Q15-RESUMEN!H12*RESUMEN!G5)/RESUMEN!Q15</f>
        <v>0</v>
      </c>
      <c r="J24" s="967">
        <f>+K24/RESUMEN!$Q$15</f>
        <v>0</v>
      </c>
      <c r="K24" s="968">
        <f>(-RESUMEN!I15*RESUMEN!Q15-RESUMEN!I12*RESUMEN!I5)/RESUMEN!Q15</f>
        <v>0</v>
      </c>
      <c r="L24" s="967">
        <f>+M24/RESUMEN!$Q$15</f>
        <v>0</v>
      </c>
      <c r="M24" s="968">
        <f>(-RESUMEN!J15*RESUMEN!Q15-RESUMEN!J12*RESUMEN!K5)/RESUMEN!Q15</f>
        <v>0</v>
      </c>
      <c r="N24" s="965">
        <f>+O24/RESUMEN!$Q$15</f>
        <v>0</v>
      </c>
      <c r="O24" s="966">
        <f>(-RESUMEN!F15*RESUMEN!Q15-RESUMEN!F12*RESUMEN!F5)/RESUMEN!Q15</f>
        <v>0</v>
      </c>
      <c r="P24" s="967">
        <f>+Q24/RESUMEN!$Q$15</f>
        <v>0</v>
      </c>
      <c r="Q24" s="966">
        <f>(-RESUMEN!G15*RESUMEN!Q15-RESUMEN!G12*RESUMEN!F5)/RESUMEN!Q15</f>
        <v>0</v>
      </c>
      <c r="R24" s="967">
        <f>+S24/RESUMEN!$Q$15</f>
        <v>0</v>
      </c>
      <c r="S24" s="966">
        <f>(-RESUMEN!H15*RESUMEN!Q15-RESUMEN!H12*RESUMEN!G5)/RESUMEN!Q15</f>
        <v>0</v>
      </c>
      <c r="T24" s="967">
        <f>+U24/RESUMEN!$Q$15</f>
        <v>0</v>
      </c>
      <c r="U24" s="968">
        <f>(-RESUMEN!I15*RESUMEN!Q15-RESUMEN!I12*RESUMEN!I5)/RESUMEN!Q15</f>
        <v>0</v>
      </c>
      <c r="V24" s="967">
        <f>+W24/RESUMEN!$Q$15</f>
        <v>0</v>
      </c>
      <c r="W24" s="966">
        <f>(-RESUMEN!O15*RESUMEN!Q15-RESUMEN!O12*RESUMEN!G5)/RESUMEN!Q15</f>
        <v>0</v>
      </c>
    </row>
    <row r="25" spans="3:31" ht="16.2" customHeight="1" thickBot="1" x14ac:dyDescent="0.3">
      <c r="C25" s="969" t="s">
        <v>365</v>
      </c>
      <c r="D25" s="970">
        <f t="shared" ref="D25:U25" si="3">+D23+D24</f>
        <v>213.91437599999995</v>
      </c>
      <c r="E25" s="971">
        <f t="shared" si="3"/>
        <v>320871.56400000001</v>
      </c>
      <c r="F25" s="1582">
        <f t="shared" si="3"/>
        <v>220.27133333333325</v>
      </c>
      <c r="G25" s="1583">
        <f t="shared" si="3"/>
        <v>330406.99999999977</v>
      </c>
      <c r="H25" s="970">
        <f t="shared" si="3"/>
        <v>36.625879999999825</v>
      </c>
      <c r="I25" s="971">
        <f t="shared" si="3"/>
        <v>54938.819999999832</v>
      </c>
      <c r="J25" s="970">
        <f t="shared" si="3"/>
        <v>282.18827999999962</v>
      </c>
      <c r="K25" s="972">
        <f t="shared" si="3"/>
        <v>423282.42000000016</v>
      </c>
      <c r="L25" s="970">
        <f t="shared" ref="L25:M25" si="4">+L23+L24</f>
        <v>18.864806666666539</v>
      </c>
      <c r="M25" s="972">
        <f t="shared" si="4"/>
        <v>28297.210000000079</v>
      </c>
      <c r="N25" s="970">
        <f t="shared" si="3"/>
        <v>142.2267760000002</v>
      </c>
      <c r="O25" s="971">
        <f t="shared" si="3"/>
        <v>213340.16400000011</v>
      </c>
      <c r="P25" s="970">
        <f t="shared" si="3"/>
        <v>19.358387499999822</v>
      </c>
      <c r="Q25" s="971">
        <f t="shared" si="3"/>
        <v>29037.581250000047</v>
      </c>
      <c r="R25" s="970">
        <f t="shared" si="3"/>
        <v>46.220933333333221</v>
      </c>
      <c r="S25" s="971">
        <f t="shared" si="3"/>
        <v>69331.40000000014</v>
      </c>
      <c r="T25" s="970">
        <f>+T23+T24</f>
        <v>644.42276000000027</v>
      </c>
      <c r="U25" s="972">
        <f t="shared" si="3"/>
        <v>966634.14000000013</v>
      </c>
      <c r="V25" s="1582">
        <f t="shared" ref="V25:W25" si="5">+V23+V24</f>
        <v>310.64245333333338</v>
      </c>
      <c r="W25" s="1583">
        <f t="shared" si="5"/>
        <v>1281963.6800000002</v>
      </c>
    </row>
    <row r="26" spans="3:31" x14ac:dyDescent="0.25">
      <c r="D26" s="944">
        <f>+D23-RESUMEN!F16</f>
        <v>0</v>
      </c>
      <c r="E26" s="944"/>
      <c r="F26" s="944">
        <f>+F23-RESUMEN!G16</f>
        <v>0</v>
      </c>
      <c r="G26" s="944"/>
      <c r="H26" s="944">
        <f>+H23-RESUMEN!H16</f>
        <v>0</v>
      </c>
      <c r="J26" s="944">
        <f>+J23-RESUMEN!I16</f>
        <v>0</v>
      </c>
      <c r="L26" s="944">
        <f>+L23-RESUMEN!K16</f>
        <v>-123.36196933333366</v>
      </c>
      <c r="N26" s="944">
        <f>+N23-RESUMEN!K16</f>
        <v>0</v>
      </c>
      <c r="O26" s="944"/>
      <c r="P26" s="944">
        <f>+P23-RESUMEN!L16</f>
        <v>0</v>
      </c>
      <c r="Q26" s="944"/>
      <c r="R26" s="944">
        <f>+R23-RESUMEN!M16</f>
        <v>0</v>
      </c>
      <c r="T26" s="944">
        <f>+T23-RESUMEN!N16</f>
        <v>0</v>
      </c>
      <c r="V26" s="944">
        <f>+V23-RESUMEN!V16</f>
        <v>310.64245333333338</v>
      </c>
      <c r="W26" s="944"/>
    </row>
    <row r="27" spans="3:31" ht="16.2" customHeight="1" thickBot="1" x14ac:dyDescent="0.3">
      <c r="D27" s="944"/>
      <c r="E27" s="944"/>
      <c r="F27" s="944"/>
      <c r="G27" s="944"/>
      <c r="N27" s="944"/>
      <c r="O27" s="944"/>
      <c r="P27" s="944"/>
      <c r="Q27" s="944"/>
      <c r="V27" s="944"/>
      <c r="W27" s="944"/>
    </row>
    <row r="28" spans="3:31" ht="18" customHeight="1" thickBot="1" x14ac:dyDescent="0.3">
      <c r="C28" s="973" t="s">
        <v>366</v>
      </c>
      <c r="D28" s="1726">
        <f>+RESUMEN!F78</f>
        <v>50</v>
      </c>
      <c r="E28" s="1727"/>
      <c r="F28" s="1728">
        <f>+RESUMEN!G78</f>
        <v>0</v>
      </c>
      <c r="G28" s="1727"/>
      <c r="H28" s="1728">
        <f>+RESUMEN!H78</f>
        <v>0</v>
      </c>
      <c r="I28" s="1727"/>
      <c r="J28" s="1728">
        <f>+RESUMEN!I78</f>
        <v>50</v>
      </c>
      <c r="K28" s="1727"/>
      <c r="L28" s="1728">
        <f>+RESUMEN!J78</f>
        <v>0</v>
      </c>
      <c r="M28" s="1727"/>
      <c r="N28" s="1726">
        <f>+RESUMEN!K78</f>
        <v>0</v>
      </c>
      <c r="O28" s="1727"/>
      <c r="P28" s="1728">
        <f>+RESUMEN!L78</f>
        <v>0</v>
      </c>
      <c r="Q28" s="1727"/>
      <c r="R28" s="1728">
        <f>+RESUMEN!M78</f>
        <v>0</v>
      </c>
      <c r="S28" s="1727"/>
      <c r="T28" s="1728">
        <f>+RESUMEN!N78</f>
        <v>0</v>
      </c>
      <c r="U28" s="1727"/>
      <c r="V28" s="1728">
        <f>+RESUMEN!O78</f>
        <v>0</v>
      </c>
      <c r="W28" s="1727"/>
      <c r="X28" s="974">
        <f>SUM(D28:U28)</f>
        <v>100</v>
      </c>
      <c r="Y28" s="975" t="s">
        <v>306</v>
      </c>
    </row>
    <row r="29" spans="3:31" ht="16.2" customHeight="1" thickBot="1" x14ac:dyDescent="0.3">
      <c r="C29" s="976"/>
      <c r="D29" s="977"/>
      <c r="E29" s="977"/>
      <c r="F29" s="978"/>
      <c r="G29" s="978"/>
      <c r="H29" s="978"/>
      <c r="I29" s="978"/>
      <c r="J29" s="978"/>
      <c r="K29" s="978"/>
      <c r="L29" s="978"/>
      <c r="M29" s="978"/>
      <c r="N29" s="977"/>
      <c r="O29" s="977"/>
      <c r="P29" s="978"/>
      <c r="Q29" s="978"/>
      <c r="R29" s="978"/>
      <c r="S29" s="978"/>
      <c r="T29" s="978"/>
      <c r="U29" s="978"/>
      <c r="V29" s="978"/>
      <c r="W29" s="978"/>
      <c r="X29" s="978"/>
      <c r="Y29" s="978"/>
      <c r="Z29" s="978"/>
    </row>
    <row r="30" spans="3:31" ht="16.2" customHeight="1" thickBot="1" x14ac:dyDescent="0.3">
      <c r="C30" s="673" t="s">
        <v>367</v>
      </c>
      <c r="Z30" s="978"/>
    </row>
    <row r="31" spans="3:31" ht="13.2" customHeight="1" x14ac:dyDescent="0.25">
      <c r="C31" s="979" t="s">
        <v>368</v>
      </c>
      <c r="D31" s="980">
        <f>+D17*D28</f>
        <v>70488</v>
      </c>
      <c r="E31" s="981">
        <f>+E17*D28</f>
        <v>105732000</v>
      </c>
      <c r="F31" s="980">
        <f>+F17*F28</f>
        <v>0</v>
      </c>
      <c r="G31" s="981">
        <f>+G17*F28</f>
        <v>0</v>
      </c>
      <c r="H31" s="980">
        <f>+H17*H28</f>
        <v>0</v>
      </c>
      <c r="I31" s="981">
        <f>+I17*H28</f>
        <v>0</v>
      </c>
      <c r="J31" s="980">
        <f>+J17*J28</f>
        <v>106955.74999999999</v>
      </c>
      <c r="K31" s="981">
        <f>+K17*J28</f>
        <v>160433625</v>
      </c>
      <c r="L31" s="980">
        <f>+L17*L28</f>
        <v>0</v>
      </c>
      <c r="M31" s="981">
        <f>+M17*L28</f>
        <v>0</v>
      </c>
      <c r="N31" s="980">
        <f>+N17*N28</f>
        <v>0</v>
      </c>
      <c r="O31" s="981">
        <f>+O17*N28</f>
        <v>0</v>
      </c>
      <c r="P31" s="980">
        <f>+P17*P28</f>
        <v>0</v>
      </c>
      <c r="Q31" s="981">
        <f>+Q17*P28</f>
        <v>0</v>
      </c>
      <c r="R31" s="980">
        <f>+R17*R28</f>
        <v>0</v>
      </c>
      <c r="S31" s="981">
        <f>+S17*R28</f>
        <v>0</v>
      </c>
      <c r="T31" s="980">
        <f>+T17*T28</f>
        <v>0</v>
      </c>
      <c r="U31" s="981">
        <f>+U17*T28</f>
        <v>0</v>
      </c>
      <c r="V31" s="980">
        <f>+V17*V28</f>
        <v>0</v>
      </c>
      <c r="W31" s="981">
        <f>+W17*V28</f>
        <v>0</v>
      </c>
      <c r="X31" s="982">
        <f>+D31+F31+H31+J31</f>
        <v>177443.75</v>
      </c>
      <c r="Y31" s="983">
        <f>+E31+G31+I31+K31</f>
        <v>266165625</v>
      </c>
      <c r="Z31" s="978"/>
    </row>
    <row r="32" spans="3:31" x14ac:dyDescent="0.25">
      <c r="C32" s="661"/>
      <c r="D32" s="984">
        <f>+D18*D28</f>
        <v>0</v>
      </c>
      <c r="E32" s="985">
        <f>+E18*D28</f>
        <v>0</v>
      </c>
      <c r="F32" s="984">
        <f>+F18*F28</f>
        <v>0</v>
      </c>
      <c r="G32" s="985">
        <f>+G18*F28</f>
        <v>0</v>
      </c>
      <c r="H32" s="984">
        <f>+H18*H28</f>
        <v>0</v>
      </c>
      <c r="I32" s="985">
        <f>+I18*H28</f>
        <v>0</v>
      </c>
      <c r="J32" s="984">
        <f>+J18*J28</f>
        <v>0</v>
      </c>
      <c r="K32" s="985">
        <f>+K18*J28</f>
        <v>0</v>
      </c>
      <c r="L32" s="984">
        <f>+L18*L28</f>
        <v>0</v>
      </c>
      <c r="M32" s="985">
        <f>+M18*L28</f>
        <v>0</v>
      </c>
      <c r="N32" s="984">
        <f>+N18*N28</f>
        <v>0</v>
      </c>
      <c r="O32" s="985">
        <f>+O18*N28</f>
        <v>0</v>
      </c>
      <c r="P32" s="984">
        <f>+P18*P28</f>
        <v>0</v>
      </c>
      <c r="Q32" s="985">
        <f>+Q18*P28</f>
        <v>0</v>
      </c>
      <c r="R32" s="984">
        <f>+R18*R28</f>
        <v>0</v>
      </c>
      <c r="S32" s="985">
        <f>+S18*R28</f>
        <v>0</v>
      </c>
      <c r="T32" s="984">
        <f>+T18*T28</f>
        <v>0</v>
      </c>
      <c r="U32" s="985">
        <f>+U18*T28</f>
        <v>0</v>
      </c>
      <c r="V32" s="984">
        <f>+V18*V28</f>
        <v>0</v>
      </c>
      <c r="W32" s="985">
        <f>+W18*V28</f>
        <v>0</v>
      </c>
      <c r="Z32" s="978"/>
    </row>
    <row r="33" spans="3:30" x14ac:dyDescent="0.25">
      <c r="C33" s="979" t="s">
        <v>360</v>
      </c>
      <c r="D33" s="980">
        <f>+D19*D28</f>
        <v>-4577.16</v>
      </c>
      <c r="E33" s="981">
        <f>+E19*D28</f>
        <v>-6865739.9999999991</v>
      </c>
      <c r="F33" s="980">
        <f>+F19*F28</f>
        <v>0</v>
      </c>
      <c r="G33" s="981">
        <f>+G19*F28</f>
        <v>0</v>
      </c>
      <c r="H33" s="980">
        <f>+H19*H28</f>
        <v>0</v>
      </c>
      <c r="I33" s="981">
        <f>+I19*H28</f>
        <v>0</v>
      </c>
      <c r="J33" s="980">
        <f>+J19*J28</f>
        <v>-7513.793333333334</v>
      </c>
      <c r="K33" s="981">
        <f>+K19*J28</f>
        <v>-11270690</v>
      </c>
      <c r="L33" s="980">
        <f>+L19*L28</f>
        <v>0</v>
      </c>
      <c r="M33" s="981">
        <f>+M19*L28</f>
        <v>0</v>
      </c>
      <c r="N33" s="980">
        <f>+N19*N28</f>
        <v>0</v>
      </c>
      <c r="O33" s="981">
        <f>+O19*N28</f>
        <v>0</v>
      </c>
      <c r="P33" s="980">
        <f>+P19*P28</f>
        <v>0</v>
      </c>
      <c r="Q33" s="981">
        <f>+Q19*P28</f>
        <v>0</v>
      </c>
      <c r="R33" s="980">
        <f>+R19*R28</f>
        <v>0</v>
      </c>
      <c r="S33" s="981">
        <f>+S19*R28</f>
        <v>0</v>
      </c>
      <c r="T33" s="980">
        <f>+T19*T28</f>
        <v>0</v>
      </c>
      <c r="U33" s="981">
        <f>+U19*T28</f>
        <v>0</v>
      </c>
      <c r="V33" s="980">
        <f>+V19*V28</f>
        <v>0</v>
      </c>
      <c r="W33" s="981">
        <f>+W19*V28</f>
        <v>0</v>
      </c>
      <c r="Z33" s="978"/>
    </row>
    <row r="34" spans="3:30" x14ac:dyDescent="0.25">
      <c r="C34" s="979" t="s">
        <v>362</v>
      </c>
      <c r="D34" s="980">
        <f>+D21*D28</f>
        <v>-5100</v>
      </c>
      <c r="E34" s="981">
        <f>+E21*D28</f>
        <v>-7650000</v>
      </c>
      <c r="F34" s="980">
        <f>+F21*F28</f>
        <v>0</v>
      </c>
      <c r="G34" s="981">
        <f>+G21*F28</f>
        <v>0</v>
      </c>
      <c r="H34" s="980">
        <f>+H21*H28</f>
        <v>0</v>
      </c>
      <c r="I34" s="981">
        <f>+I21*H28</f>
        <v>0</v>
      </c>
      <c r="J34" s="980">
        <f>+J21*J28</f>
        <v>-13033.333333333334</v>
      </c>
      <c r="K34" s="981">
        <f>+K21*J28</f>
        <v>-19550000</v>
      </c>
      <c r="L34" s="980">
        <f>+L21*L28</f>
        <v>0</v>
      </c>
      <c r="M34" s="981">
        <f>+M21*L28</f>
        <v>0</v>
      </c>
      <c r="N34" s="980">
        <f>+N21*N28</f>
        <v>0</v>
      </c>
      <c r="O34" s="981">
        <f>+O21*N28</f>
        <v>0</v>
      </c>
      <c r="P34" s="980">
        <f>+P21*P28</f>
        <v>0</v>
      </c>
      <c r="Q34" s="981">
        <f>+Q21*P28</f>
        <v>0</v>
      </c>
      <c r="R34" s="980">
        <f>+R21*R28</f>
        <v>0</v>
      </c>
      <c r="S34" s="981">
        <f>+S21*R28</f>
        <v>0</v>
      </c>
      <c r="T34" s="980">
        <f>+T21*T28</f>
        <v>0</v>
      </c>
      <c r="U34" s="981">
        <f>+U21*T28</f>
        <v>0</v>
      </c>
      <c r="V34" s="980">
        <f>+V21*V28</f>
        <v>0</v>
      </c>
      <c r="W34" s="981">
        <f>+W21*V28</f>
        <v>0</v>
      </c>
      <c r="Z34" s="978"/>
    </row>
    <row r="35" spans="3:30" x14ac:dyDescent="0.25">
      <c r="C35" s="986" t="s">
        <v>361</v>
      </c>
      <c r="D35" s="984">
        <f>+D20*D28</f>
        <v>-1800</v>
      </c>
      <c r="E35" s="985">
        <f>+E20*D28</f>
        <v>-2700000</v>
      </c>
      <c r="F35" s="984"/>
      <c r="G35" s="985">
        <f>+G20*F28</f>
        <v>0</v>
      </c>
      <c r="H35" s="984"/>
      <c r="I35" s="985">
        <f>+I20</f>
        <v>-145350</v>
      </c>
      <c r="J35" s="984"/>
      <c r="K35" s="985">
        <f>+K20</f>
        <v>-115000</v>
      </c>
      <c r="L35" s="984"/>
      <c r="M35" s="985">
        <f>+M20</f>
        <v>0</v>
      </c>
      <c r="N35" s="984">
        <f>+N20*N28</f>
        <v>0</v>
      </c>
      <c r="O35" s="985">
        <f>+O20*N28</f>
        <v>0</v>
      </c>
      <c r="P35" s="984">
        <f>+P20*P28</f>
        <v>0</v>
      </c>
      <c r="Q35" s="985">
        <f>+Q20*P28</f>
        <v>0</v>
      </c>
      <c r="R35" s="984">
        <f>+R20*R28</f>
        <v>0</v>
      </c>
      <c r="S35" s="985">
        <f>+S20</f>
        <v>0</v>
      </c>
      <c r="T35" s="984">
        <f>+T20*T28</f>
        <v>0</v>
      </c>
      <c r="U35" s="985">
        <f>+U20</f>
        <v>-2975</v>
      </c>
      <c r="V35" s="984"/>
      <c r="W35" s="985">
        <f>+W20*V28</f>
        <v>0</v>
      </c>
      <c r="Z35" s="978"/>
    </row>
    <row r="36" spans="3:30" ht="16.2" customHeight="1" thickBot="1" x14ac:dyDescent="0.3">
      <c r="C36" s="979"/>
      <c r="D36" s="980"/>
      <c r="E36" s="981"/>
      <c r="F36" s="980"/>
      <c r="G36" s="981"/>
      <c r="H36" s="980"/>
      <c r="I36" s="981"/>
      <c r="J36" s="980"/>
      <c r="K36" s="981"/>
      <c r="L36" s="980"/>
      <c r="M36" s="981"/>
      <c r="N36" s="980"/>
      <c r="O36" s="981"/>
      <c r="P36" s="980"/>
      <c r="Q36" s="981"/>
      <c r="R36" s="980"/>
      <c r="S36" s="981"/>
      <c r="T36" s="980"/>
      <c r="U36" s="981"/>
      <c r="V36" s="980"/>
      <c r="W36" s="981"/>
      <c r="Z36" s="978"/>
    </row>
    <row r="37" spans="3:30" ht="15" customHeight="1" thickBot="1" x14ac:dyDescent="0.3">
      <c r="C37" s="673" t="s">
        <v>369</v>
      </c>
      <c r="D37" s="987">
        <f t="shared" ref="D37:Y37" si="6">SUM(D42:D44)</f>
        <v>21115.121200000001</v>
      </c>
      <c r="E37" s="988">
        <f t="shared" si="6"/>
        <v>31672681.800000001</v>
      </c>
      <c r="F37" s="987">
        <f t="shared" si="6"/>
        <v>0</v>
      </c>
      <c r="G37" s="988">
        <f t="shared" si="6"/>
        <v>0</v>
      </c>
      <c r="H37" s="987">
        <f t="shared" si="6"/>
        <v>0</v>
      </c>
      <c r="I37" s="988">
        <f t="shared" si="6"/>
        <v>0</v>
      </c>
      <c r="J37" s="987">
        <f t="shared" si="6"/>
        <v>41265.876000000004</v>
      </c>
      <c r="K37" s="988">
        <f t="shared" si="6"/>
        <v>61898814</v>
      </c>
      <c r="L37" s="987">
        <f t="shared" ref="L37:M37" si="7">SUM(L42:L44)</f>
        <v>0</v>
      </c>
      <c r="M37" s="988">
        <f t="shared" si="7"/>
        <v>0</v>
      </c>
      <c r="N37" s="987">
        <f t="shared" si="6"/>
        <v>0</v>
      </c>
      <c r="O37" s="988">
        <f t="shared" si="6"/>
        <v>0</v>
      </c>
      <c r="P37" s="987">
        <f t="shared" si="6"/>
        <v>0</v>
      </c>
      <c r="Q37" s="988">
        <f t="shared" si="6"/>
        <v>0</v>
      </c>
      <c r="R37" s="987">
        <f t="shared" ref="R37" si="8">SUM(R42:R44)</f>
        <v>0</v>
      </c>
      <c r="S37" s="988">
        <f t="shared" si="6"/>
        <v>0</v>
      </c>
      <c r="T37" s="987">
        <f t="shared" si="6"/>
        <v>0</v>
      </c>
      <c r="U37" s="988">
        <f t="shared" si="6"/>
        <v>0</v>
      </c>
      <c r="V37" s="987">
        <f t="shared" ref="V37:W37" si="9">SUM(V42:V44)</f>
        <v>0</v>
      </c>
      <c r="W37" s="988">
        <f t="shared" si="9"/>
        <v>0</v>
      </c>
      <c r="X37" s="989">
        <f t="shared" si="6"/>
        <v>62380.997199999998</v>
      </c>
      <c r="Y37" s="990">
        <f t="shared" si="6"/>
        <v>93571495.799999997</v>
      </c>
      <c r="Z37" s="991">
        <f>+AA37/Y37-1</f>
        <v>0.16063160035537227</v>
      </c>
      <c r="AA37" s="992">
        <f>SUM(AA42:AA44)</f>
        <v>108602034.918</v>
      </c>
      <c r="AB37" s="638">
        <f>+AA37/X48</f>
        <v>0.45446718505224337</v>
      </c>
      <c r="AC37" s="993"/>
      <c r="AD37" s="993"/>
    </row>
    <row r="38" spans="3:30" ht="14.4" customHeight="1" thickBot="1" x14ac:dyDescent="0.3">
      <c r="C38" s="672" t="s">
        <v>370</v>
      </c>
      <c r="D38" s="617" t="s">
        <v>152</v>
      </c>
      <c r="E38" s="618" t="s">
        <v>287</v>
      </c>
      <c r="F38" s="619" t="s">
        <v>152</v>
      </c>
      <c r="G38" s="618" t="s">
        <v>287</v>
      </c>
      <c r="H38" s="619" t="s">
        <v>152</v>
      </c>
      <c r="I38" s="618" t="s">
        <v>287</v>
      </c>
      <c r="J38" s="619" t="s">
        <v>152</v>
      </c>
      <c r="K38" s="620" t="s">
        <v>287</v>
      </c>
      <c r="L38" s="619" t="s">
        <v>152</v>
      </c>
      <c r="M38" s="620" t="s">
        <v>287</v>
      </c>
      <c r="N38" s="617" t="s">
        <v>152</v>
      </c>
      <c r="O38" s="618" t="s">
        <v>287</v>
      </c>
      <c r="P38" s="619" t="s">
        <v>152</v>
      </c>
      <c r="Q38" s="618" t="s">
        <v>287</v>
      </c>
      <c r="R38" s="619" t="s">
        <v>152</v>
      </c>
      <c r="S38" s="618" t="s">
        <v>287</v>
      </c>
      <c r="T38" s="619" t="s">
        <v>152</v>
      </c>
      <c r="U38" s="620" t="s">
        <v>287</v>
      </c>
      <c r="V38" s="619" t="s">
        <v>152</v>
      </c>
      <c r="W38" s="618" t="s">
        <v>287</v>
      </c>
      <c r="X38" s="617" t="s">
        <v>152</v>
      </c>
      <c r="Y38" s="621" t="s">
        <v>287</v>
      </c>
      <c r="Z38" s="630" t="s">
        <v>371</v>
      </c>
      <c r="AA38" s="630" t="s">
        <v>372</v>
      </c>
      <c r="AB38" s="993"/>
      <c r="AC38" s="993"/>
      <c r="AD38" s="993"/>
    </row>
    <row r="39" spans="3:30" ht="13.95" customHeight="1" x14ac:dyDescent="0.25">
      <c r="C39" s="614" t="str">
        <f>+C7</f>
        <v>Agroquímicos</v>
      </c>
      <c r="D39" s="993">
        <f>D$28*D7</f>
        <v>9564</v>
      </c>
      <c r="E39" s="994">
        <f>D$28*E7</f>
        <v>14346000</v>
      </c>
      <c r="F39" s="993">
        <f>F$28*F7</f>
        <v>0</v>
      </c>
      <c r="G39" s="994">
        <f>F$28*G7</f>
        <v>0</v>
      </c>
      <c r="H39" s="993">
        <f>H$28*H7</f>
        <v>0</v>
      </c>
      <c r="I39" s="994">
        <f>H$28*I7</f>
        <v>0</v>
      </c>
      <c r="J39" s="993">
        <f>J$28*J7</f>
        <v>6282.75</v>
      </c>
      <c r="K39" s="995">
        <f>J$28*K7</f>
        <v>9424125</v>
      </c>
      <c r="L39" s="993">
        <f>L$28*L7</f>
        <v>0</v>
      </c>
      <c r="M39" s="995">
        <f>L$28*M7</f>
        <v>0</v>
      </c>
      <c r="N39" s="993">
        <f>N$28*N7</f>
        <v>0</v>
      </c>
      <c r="O39" s="994">
        <f>N$28*O7</f>
        <v>0</v>
      </c>
      <c r="P39" s="993">
        <f>P$28*P7</f>
        <v>0</v>
      </c>
      <c r="Q39" s="994">
        <f>P$28*Q7</f>
        <v>0</v>
      </c>
      <c r="R39" s="993">
        <f>R$28*R7</f>
        <v>0</v>
      </c>
      <c r="S39" s="994">
        <f>R$28*S7</f>
        <v>0</v>
      </c>
      <c r="T39" s="993">
        <f>T$28*T7</f>
        <v>0</v>
      </c>
      <c r="U39" s="995">
        <f>T$28*U7</f>
        <v>0</v>
      </c>
      <c r="V39" s="993">
        <f>V$28*V7</f>
        <v>0</v>
      </c>
      <c r="W39" s="994">
        <f>V$28*W7</f>
        <v>0</v>
      </c>
      <c r="X39" s="996">
        <f>+D39+F39+H39+J39+L39+N39+P39+R39+T39+V39</f>
        <v>15846.75</v>
      </c>
      <c r="Y39" s="997">
        <f>+E39+G39+I39+K39+M39+O39+Q39+S39+U39+W39</f>
        <v>23770125</v>
      </c>
      <c r="Z39" s="998">
        <v>0.21</v>
      </c>
      <c r="AA39" s="999">
        <f>+Y39*(1+Z39)</f>
        <v>28761851.25</v>
      </c>
      <c r="AC39" s="993"/>
      <c r="AD39" s="993"/>
    </row>
    <row r="40" spans="3:30" ht="13.95" customHeight="1" x14ac:dyDescent="0.25">
      <c r="C40" s="614" t="str">
        <f>+C8</f>
        <v>Fertilizantes</v>
      </c>
      <c r="D40" s="993">
        <f>D$28*D8</f>
        <v>1505</v>
      </c>
      <c r="E40" s="994">
        <f>D$28*E8</f>
        <v>2257500</v>
      </c>
      <c r="F40" s="993">
        <f>F$28*F8</f>
        <v>0</v>
      </c>
      <c r="G40" s="994">
        <f>F$28*G8</f>
        <v>0</v>
      </c>
      <c r="H40" s="993">
        <f>H$28*H8</f>
        <v>0</v>
      </c>
      <c r="I40" s="994">
        <f>H$28*I8</f>
        <v>0</v>
      </c>
      <c r="J40" s="993">
        <f>J$28*J8</f>
        <v>18175</v>
      </c>
      <c r="K40" s="995">
        <f>J$28*K8</f>
        <v>27262500</v>
      </c>
      <c r="L40" s="993">
        <f>L$28*L8</f>
        <v>0</v>
      </c>
      <c r="M40" s="995">
        <f>L$28*M8</f>
        <v>0</v>
      </c>
      <c r="N40" s="993">
        <f>N$28*N8</f>
        <v>0</v>
      </c>
      <c r="O40" s="994">
        <f>N$28*O8</f>
        <v>0</v>
      </c>
      <c r="P40" s="993">
        <f>P$28*P8</f>
        <v>0</v>
      </c>
      <c r="Q40" s="994">
        <f>P$28*Q8</f>
        <v>0</v>
      </c>
      <c r="R40" s="993">
        <f>R$28*R8</f>
        <v>0</v>
      </c>
      <c r="S40" s="994">
        <f>R$28*S8</f>
        <v>0</v>
      </c>
      <c r="T40" s="993">
        <f>T$28*T8</f>
        <v>0</v>
      </c>
      <c r="U40" s="995">
        <f>T$28*U8</f>
        <v>0</v>
      </c>
      <c r="V40" s="993">
        <f>V$28*V8</f>
        <v>0</v>
      </c>
      <c r="W40" s="994">
        <f>V$28*W8</f>
        <v>0</v>
      </c>
      <c r="X40" s="996">
        <f t="shared" ref="X40:X41" si="10">+D40+F40+H40+J40+L40+N40+P40+R40+T40+V40</f>
        <v>19680</v>
      </c>
      <c r="Y40" s="997">
        <f t="shared" ref="Y40:Y41" si="11">+E40+G40+I40+K40+M40+O40+Q40+S40+U40+W40</f>
        <v>29520000</v>
      </c>
      <c r="Z40" s="998">
        <v>0.105</v>
      </c>
      <c r="AA40" s="999">
        <f>+Y40*(1+Z40)</f>
        <v>32619600</v>
      </c>
      <c r="AC40" s="993"/>
      <c r="AD40" s="993"/>
    </row>
    <row r="41" spans="3:30" ht="13.95" customHeight="1" x14ac:dyDescent="0.25">
      <c r="C41" s="614" t="str">
        <f>+C9</f>
        <v>Semillas</v>
      </c>
      <c r="D41" s="993">
        <f>D$28*D9</f>
        <v>3800</v>
      </c>
      <c r="E41" s="994">
        <f>D$28*E9</f>
        <v>5700000</v>
      </c>
      <c r="F41" s="993">
        <f>F$28*F9</f>
        <v>0</v>
      </c>
      <c r="G41" s="994">
        <f>F$28*G9</f>
        <v>0</v>
      </c>
      <c r="H41" s="993">
        <f>H$28*H9</f>
        <v>0</v>
      </c>
      <c r="I41" s="994">
        <f>H$28*I9</f>
        <v>0</v>
      </c>
      <c r="J41" s="993">
        <f>J$28*J9</f>
        <v>9500</v>
      </c>
      <c r="K41" s="995">
        <f>J$28*K9</f>
        <v>14250000</v>
      </c>
      <c r="L41" s="993">
        <f>L$28*L9</f>
        <v>0</v>
      </c>
      <c r="M41" s="995">
        <f>L$28*M9</f>
        <v>0</v>
      </c>
      <c r="N41" s="993">
        <f>N$28*N9</f>
        <v>0</v>
      </c>
      <c r="O41" s="994">
        <f>N$28*O9</f>
        <v>0</v>
      </c>
      <c r="P41" s="993">
        <f>P$28*P9</f>
        <v>0</v>
      </c>
      <c r="Q41" s="994">
        <f>P$28*Q9</f>
        <v>0</v>
      </c>
      <c r="R41" s="993">
        <f>R$28*R9</f>
        <v>0</v>
      </c>
      <c r="S41" s="994">
        <f>R$28*S9</f>
        <v>0</v>
      </c>
      <c r="T41" s="993">
        <f>T$28*T9</f>
        <v>0</v>
      </c>
      <c r="U41" s="995">
        <f>T$28*U9</f>
        <v>0</v>
      </c>
      <c r="V41" s="993">
        <f>V$28*V9</f>
        <v>0</v>
      </c>
      <c r="W41" s="994">
        <f>V$28*W9</f>
        <v>0</v>
      </c>
      <c r="X41" s="996">
        <f t="shared" si="10"/>
        <v>13300</v>
      </c>
      <c r="Y41" s="997">
        <f t="shared" si="11"/>
        <v>19950000</v>
      </c>
      <c r="Z41" s="998">
        <v>0.21</v>
      </c>
      <c r="AA41" s="999">
        <f>+Y41*(1+Z41)</f>
        <v>24139500</v>
      </c>
      <c r="AC41" s="993"/>
      <c r="AD41" s="993"/>
    </row>
    <row r="42" spans="3:30" ht="13.95" customHeight="1" thickBot="1" x14ac:dyDescent="0.3">
      <c r="C42" s="615" t="s">
        <v>373</v>
      </c>
      <c r="D42" s="1000">
        <f t="shared" ref="D42:Y42" si="12">+D39+D40+D41</f>
        <v>14869</v>
      </c>
      <c r="E42" s="1001">
        <f t="shared" si="12"/>
        <v>22303500</v>
      </c>
      <c r="F42" s="1000">
        <f t="shared" si="12"/>
        <v>0</v>
      </c>
      <c r="G42" s="1001">
        <f t="shared" si="12"/>
        <v>0</v>
      </c>
      <c r="H42" s="1000">
        <f t="shared" si="12"/>
        <v>0</v>
      </c>
      <c r="I42" s="1001">
        <f t="shared" si="12"/>
        <v>0</v>
      </c>
      <c r="J42" s="1000">
        <f t="shared" si="12"/>
        <v>33957.75</v>
      </c>
      <c r="K42" s="1002">
        <f t="shared" si="12"/>
        <v>50936625</v>
      </c>
      <c r="L42" s="1000">
        <f t="shared" ref="L42:M42" si="13">+L39+L40+L41</f>
        <v>0</v>
      </c>
      <c r="M42" s="1002">
        <f t="shared" si="13"/>
        <v>0</v>
      </c>
      <c r="N42" s="1000">
        <f t="shared" si="12"/>
        <v>0</v>
      </c>
      <c r="O42" s="1001">
        <f t="shared" si="12"/>
        <v>0</v>
      </c>
      <c r="P42" s="1000">
        <f t="shared" si="12"/>
        <v>0</v>
      </c>
      <c r="Q42" s="1001">
        <f t="shared" si="12"/>
        <v>0</v>
      </c>
      <c r="R42" s="1000">
        <f t="shared" si="12"/>
        <v>0</v>
      </c>
      <c r="S42" s="1001">
        <f t="shared" si="12"/>
        <v>0</v>
      </c>
      <c r="T42" s="1000">
        <f t="shared" si="12"/>
        <v>0</v>
      </c>
      <c r="U42" s="1002">
        <f t="shared" si="12"/>
        <v>0</v>
      </c>
      <c r="V42" s="1000">
        <f t="shared" ref="V42:W42" si="14">+V39+V40+V41</f>
        <v>0</v>
      </c>
      <c r="W42" s="1001">
        <f t="shared" si="14"/>
        <v>0</v>
      </c>
      <c r="X42" s="1599">
        <f t="shared" si="12"/>
        <v>48826.75</v>
      </c>
      <c r="Y42" s="1600">
        <f t="shared" si="12"/>
        <v>73240125</v>
      </c>
      <c r="Z42" s="991">
        <f>+AA42/Y42-1</f>
        <v>0.16767893623884444</v>
      </c>
      <c r="AA42" s="992">
        <f>SUM(AA39:AA41)</f>
        <v>85520951.25</v>
      </c>
      <c r="AB42" s="638">
        <f>+AA42/X48</f>
        <v>0.35787972119420941</v>
      </c>
      <c r="AC42" s="1003"/>
      <c r="AD42" s="993"/>
    </row>
    <row r="43" spans="3:30" ht="13.95" customHeight="1" x14ac:dyDescent="0.25">
      <c r="C43" s="614" t="str">
        <f>+C10</f>
        <v>Labores</v>
      </c>
      <c r="D43" s="993">
        <f>D$28*D10</f>
        <v>4400</v>
      </c>
      <c r="E43" s="994">
        <f>D$28*E10</f>
        <v>6600000</v>
      </c>
      <c r="F43" s="993">
        <f>F$28*F10</f>
        <v>0</v>
      </c>
      <c r="G43" s="994">
        <f>F$28*G10</f>
        <v>0</v>
      </c>
      <c r="H43" s="993">
        <f>H$28*H10</f>
        <v>0</v>
      </c>
      <c r="I43" s="994">
        <f>H$28*I10</f>
        <v>0</v>
      </c>
      <c r="J43" s="993">
        <f>J$28*J10</f>
        <v>5250</v>
      </c>
      <c r="K43" s="995">
        <f>J$28*K10</f>
        <v>7875000</v>
      </c>
      <c r="L43" s="993">
        <f>L$28*L10</f>
        <v>0</v>
      </c>
      <c r="M43" s="995">
        <f>L$28*M10</f>
        <v>0</v>
      </c>
      <c r="N43" s="993">
        <f>N$28*N10</f>
        <v>0</v>
      </c>
      <c r="O43" s="994">
        <f>N$28*O10</f>
        <v>0</v>
      </c>
      <c r="P43" s="1618">
        <f>P$28*P10</f>
        <v>0</v>
      </c>
      <c r="Q43" s="1619">
        <f>P$28*Q10</f>
        <v>0</v>
      </c>
      <c r="R43" s="993">
        <f>R$28*R10</f>
        <v>0</v>
      </c>
      <c r="S43" s="994">
        <f>R$28*S10</f>
        <v>0</v>
      </c>
      <c r="T43" s="993">
        <f>T$28*T10</f>
        <v>0</v>
      </c>
      <c r="U43" s="995">
        <f>T$28*U10</f>
        <v>0</v>
      </c>
      <c r="V43" s="993">
        <f>V$28*V10</f>
        <v>0</v>
      </c>
      <c r="W43" s="994">
        <f>V$28*W10</f>
        <v>0</v>
      </c>
      <c r="X43" s="1601">
        <f>+D43+F43+H43+J43+L43+N43+P43+R43+T43+V43</f>
        <v>9650</v>
      </c>
      <c r="Y43" s="1602">
        <f>+E43+G43+I43+K43+M43+O43+Q43+S43+U43+W43</f>
        <v>14475000</v>
      </c>
      <c r="Z43" s="998">
        <v>0.105</v>
      </c>
      <c r="AA43" s="999">
        <f>+Y43*(1+Z43)</f>
        <v>15994875</v>
      </c>
      <c r="AB43" s="993"/>
      <c r="AC43" s="993"/>
      <c r="AD43" s="993"/>
    </row>
    <row r="44" spans="3:30" ht="14.4" customHeight="1" thickBot="1" x14ac:dyDescent="0.3">
      <c r="C44" s="616" t="str">
        <f>+C11</f>
        <v>Seguro</v>
      </c>
      <c r="D44" s="1004">
        <f>D$28*D11</f>
        <v>1846.1212</v>
      </c>
      <c r="E44" s="1005">
        <f>+E11*D28</f>
        <v>2769181.8</v>
      </c>
      <c r="F44" s="1004">
        <f>F$28*F11</f>
        <v>0</v>
      </c>
      <c r="G44" s="1005">
        <f>+G11*F28</f>
        <v>0</v>
      </c>
      <c r="H44" s="1004">
        <f>H$28*H11</f>
        <v>0</v>
      </c>
      <c r="I44" s="1005">
        <f>+I11*H28</f>
        <v>0</v>
      </c>
      <c r="J44" s="1004">
        <f>J$28*J11</f>
        <v>2058.1260000000002</v>
      </c>
      <c r="K44" s="1006">
        <f>+K11*J28</f>
        <v>3087189</v>
      </c>
      <c r="L44" s="1004">
        <f>L$28*L11</f>
        <v>0</v>
      </c>
      <c r="M44" s="1006">
        <f>+M11*L28</f>
        <v>0</v>
      </c>
      <c r="N44" s="1004">
        <f>N$28*N11</f>
        <v>0</v>
      </c>
      <c r="O44" s="1005">
        <f>+O11*N28</f>
        <v>0</v>
      </c>
      <c r="P44" s="1004">
        <f>P$28*P11</f>
        <v>0</v>
      </c>
      <c r="Q44" s="1005">
        <f>+Q11*P28</f>
        <v>0</v>
      </c>
      <c r="R44" s="1004">
        <f>R$28*R11</f>
        <v>0</v>
      </c>
      <c r="S44" s="1005">
        <f>+S11*R28</f>
        <v>0</v>
      </c>
      <c r="T44" s="1004">
        <f>T$28*T11</f>
        <v>0</v>
      </c>
      <c r="U44" s="1006">
        <f>+U11*T28</f>
        <v>0</v>
      </c>
      <c r="V44" s="1004">
        <f>V$28*V11</f>
        <v>0</v>
      </c>
      <c r="W44" s="1005">
        <f>+W11*V28</f>
        <v>0</v>
      </c>
      <c r="X44" s="1007">
        <f>+D44+F44+H44+J44+L44+N44+P44+R44+T44+V44</f>
        <v>3904.2472000000002</v>
      </c>
      <c r="Y44" s="1008">
        <f>+E44+G44+I44+K44+M44+O44+Q44+S44+U44+W44</f>
        <v>5856370.7999999998</v>
      </c>
      <c r="Z44" s="998">
        <v>0.21</v>
      </c>
      <c r="AA44" s="999">
        <f>+Y44*(1+Z44)</f>
        <v>7086208.6679999996</v>
      </c>
      <c r="AB44" s="993"/>
      <c r="AC44" s="993"/>
      <c r="AD44" s="993"/>
    </row>
    <row r="45" spans="3:30" ht="14.4" customHeight="1" thickBot="1" x14ac:dyDescent="0.3">
      <c r="C45" s="663"/>
      <c r="D45" s="1009"/>
      <c r="E45" s="1009"/>
      <c r="F45" s="1010"/>
      <c r="G45" s="978"/>
      <c r="H45" s="1010"/>
      <c r="I45" s="978"/>
      <c r="J45" s="1010"/>
      <c r="K45" s="978"/>
      <c r="L45" s="1010"/>
      <c r="M45" s="978"/>
      <c r="N45" s="1009"/>
      <c r="O45" s="1009"/>
      <c r="P45" s="1010"/>
      <c r="Q45" s="978"/>
      <c r="R45" s="1010"/>
      <c r="S45" s="978"/>
      <c r="T45" s="1010"/>
      <c r="U45" s="978"/>
      <c r="V45" s="1010"/>
      <c r="W45" s="978"/>
      <c r="X45" s="935"/>
      <c r="Y45" s="663"/>
      <c r="AA45" s="992"/>
      <c r="AB45" s="638"/>
      <c r="AC45" s="993"/>
      <c r="AD45" s="993"/>
    </row>
    <row r="46" spans="3:30" ht="15" customHeight="1" thickBot="1" x14ac:dyDescent="0.3">
      <c r="C46" s="673" t="s">
        <v>374</v>
      </c>
      <c r="D46" s="945">
        <f>+E46/RESUMEN!$Q$15</f>
        <v>0</v>
      </c>
      <c r="E46" s="946">
        <f>RESUMEN!F38*RESUMEN!Q38</f>
        <v>0</v>
      </c>
      <c r="F46" s="947" t="s">
        <v>355</v>
      </c>
      <c r="G46" s="948">
        <f>+RESUMEN!F37</f>
        <v>0</v>
      </c>
      <c r="H46" s="949" t="s">
        <v>356</v>
      </c>
      <c r="I46" s="948">
        <f>+RESUMEN!H37</f>
        <v>0</v>
      </c>
      <c r="J46" s="949" t="s">
        <v>357</v>
      </c>
      <c r="K46" s="948">
        <f>+RESUMEN!I37</f>
        <v>0</v>
      </c>
      <c r="L46" s="949" t="s">
        <v>357</v>
      </c>
      <c r="M46" s="948">
        <f>+RESUMEN!K37</f>
        <v>0</v>
      </c>
      <c r="N46" s="949" t="s">
        <v>375</v>
      </c>
      <c r="O46" s="948">
        <f>+RESUMEN!K37</f>
        <v>0</v>
      </c>
      <c r="P46" s="949" t="s">
        <v>375</v>
      </c>
      <c r="Q46" s="948">
        <f>+RESUMEN!L37</f>
        <v>0</v>
      </c>
      <c r="R46" s="949" t="s">
        <v>375</v>
      </c>
      <c r="S46" s="948">
        <f>+RESUMEN!M37</f>
        <v>0</v>
      </c>
      <c r="T46" s="949" t="s">
        <v>375</v>
      </c>
      <c r="U46" s="948">
        <f>+RESUMEN!N37</f>
        <v>0</v>
      </c>
      <c r="V46" s="947" t="s">
        <v>355</v>
      </c>
      <c r="W46" s="948">
        <f>+RESUMEN!U37</f>
        <v>0</v>
      </c>
      <c r="X46" s="935"/>
      <c r="Y46" s="663"/>
      <c r="AA46" s="992"/>
      <c r="AB46" s="638"/>
      <c r="AC46" s="993"/>
      <c r="AD46" s="993"/>
    </row>
    <row r="48" spans="3:30" x14ac:dyDescent="0.25">
      <c r="D48" s="1735">
        <f>+D28*RESUMEN!F8*RESUMEN!F5</f>
        <v>98082000</v>
      </c>
      <c r="E48" s="1697"/>
      <c r="F48" s="1735">
        <f>+F28*(RESUMEN!G8*RESUMEN!G5+RESUMEN!G9*RESUMEN!F5)</f>
        <v>0</v>
      </c>
      <c r="G48" s="1697"/>
      <c r="H48" s="1735">
        <f>+H28*(RESUMEN!H8*RESUMEN!G5+RESUMEN!H9*RESUMEN!I5)</f>
        <v>0</v>
      </c>
      <c r="I48" s="1697"/>
      <c r="J48" s="1735">
        <f>+J28*RESUMEN!I8*RESUMEN!I5</f>
        <v>140883625</v>
      </c>
      <c r="K48" s="1697"/>
      <c r="L48" s="1735">
        <f>+L28*RESUMEN!K8*RESUMEN!K5</f>
        <v>0</v>
      </c>
      <c r="M48" s="1697"/>
      <c r="N48" s="1735">
        <f>+N28*RESUMEN!K8*RESUMEN!K5</f>
        <v>0</v>
      </c>
      <c r="O48" s="1697"/>
      <c r="P48" s="1735">
        <f>+P28*RESUMEN!L8*RESUMEN!L5</f>
        <v>0</v>
      </c>
      <c r="Q48" s="1697"/>
      <c r="R48" s="1735">
        <f>+R28*RESUMEN!M8*RESUMEN!M5</f>
        <v>0</v>
      </c>
      <c r="S48" s="1697"/>
      <c r="T48" s="1735">
        <f>+T28*RESUMEN!N8*RESUMEN!N5</f>
        <v>0</v>
      </c>
      <c r="U48" s="1697"/>
      <c r="V48" s="1735">
        <f>+V28*(RESUMEN!O5*RESUMEN!O8+RESUMEN!F5*RESUMEN!O9)</f>
        <v>0</v>
      </c>
      <c r="W48" s="1697"/>
      <c r="X48" s="1736">
        <f>SUM(D48:W48)</f>
        <v>238965625</v>
      </c>
      <c r="Y48" s="1697"/>
      <c r="AA48" s="992">
        <f>+AA37+AA42</f>
        <v>194122986.16799998</v>
      </c>
      <c r="AB48" s="639">
        <f>+AA48/X48</f>
        <v>0.81234690624645278</v>
      </c>
    </row>
    <row r="49" spans="3:27" ht="13.2" customHeight="1" x14ac:dyDescent="0.25">
      <c r="AA49" s="1011"/>
    </row>
    <row r="50" spans="3:27" x14ac:dyDescent="0.25">
      <c r="C50" s="979" t="s">
        <v>135</v>
      </c>
      <c r="D50" s="980">
        <f>+D13*D28</f>
        <v>27200</v>
      </c>
      <c r="E50" s="981">
        <f>+E13*D28</f>
        <v>40800000</v>
      </c>
      <c r="F50" s="980"/>
      <c r="G50" s="981">
        <f>+G13*F28</f>
        <v>0</v>
      </c>
      <c r="H50" s="980"/>
      <c r="I50" s="981">
        <f>+I13</f>
        <v>29.739235016491428</v>
      </c>
      <c r="J50" s="980"/>
      <c r="K50" s="981">
        <f>+K13</f>
        <v>33.304083423463872</v>
      </c>
      <c r="L50" s="980"/>
      <c r="M50" s="981">
        <f>+M13</f>
        <v>33.304083423463872</v>
      </c>
      <c r="N50" s="980"/>
      <c r="O50" s="981">
        <f>+O13*N28</f>
        <v>0</v>
      </c>
      <c r="P50" s="980"/>
      <c r="Q50" s="981">
        <f>+Q13*P28</f>
        <v>0</v>
      </c>
      <c r="R50" s="980"/>
      <c r="S50" s="981">
        <f>+S13</f>
        <v>0</v>
      </c>
      <c r="T50" s="980"/>
      <c r="U50" s="981">
        <f>+U13</f>
        <v>0</v>
      </c>
      <c r="V50" s="980"/>
      <c r="W50" s="981">
        <f>+W13*V28</f>
        <v>0</v>
      </c>
      <c r="AA50" s="637"/>
    </row>
    <row r="51" spans="3:27" x14ac:dyDescent="0.25">
      <c r="C51" s="1012" t="s">
        <v>376</v>
      </c>
      <c r="D51" s="1013">
        <f>+D23*D28</f>
        <v>10695.718799999997</v>
      </c>
      <c r="E51" s="1014">
        <f>+E23*D28</f>
        <v>16043578.200000001</v>
      </c>
      <c r="F51" s="1013"/>
      <c r="G51" s="1014">
        <f>+G23*F28</f>
        <v>0</v>
      </c>
      <c r="H51" s="1013"/>
      <c r="I51" s="1014">
        <f>+I23</f>
        <v>54938.819999999832</v>
      </c>
      <c r="J51" s="1013"/>
      <c r="K51" s="1015">
        <f>+K23</f>
        <v>423282.42000000016</v>
      </c>
      <c r="L51" s="1013"/>
      <c r="M51" s="1015">
        <f>+M23</f>
        <v>28297.210000000079</v>
      </c>
      <c r="N51" s="1013"/>
      <c r="O51" s="1014">
        <f>+O23*N28</f>
        <v>0</v>
      </c>
      <c r="P51" s="1013"/>
      <c r="Q51" s="1014">
        <f>+Q23*P28</f>
        <v>0</v>
      </c>
      <c r="R51" s="1013"/>
      <c r="S51" s="1014">
        <f>+S23</f>
        <v>69331.40000000014</v>
      </c>
      <c r="T51" s="1013"/>
      <c r="U51" s="1015">
        <f>+U23</f>
        <v>966634.14000000013</v>
      </c>
      <c r="V51" s="1013"/>
      <c r="W51" s="1014">
        <f>+W23*V28</f>
        <v>0</v>
      </c>
    </row>
    <row r="52" spans="3:27" ht="16.2" customHeight="1" thickBot="1" x14ac:dyDescent="0.3">
      <c r="C52" s="979" t="s">
        <v>364</v>
      </c>
      <c r="D52" s="980">
        <f>+D24*D28</f>
        <v>0</v>
      </c>
      <c r="E52" s="981">
        <f>+E24*D28</f>
        <v>0</v>
      </c>
      <c r="F52" s="980"/>
      <c r="G52" s="981">
        <f>+G24*F28</f>
        <v>0</v>
      </c>
      <c r="H52" s="980"/>
      <c r="I52" s="981">
        <f>+I24</f>
        <v>0</v>
      </c>
      <c r="J52" s="980"/>
      <c r="K52" s="981">
        <f>+K24</f>
        <v>0</v>
      </c>
      <c r="L52" s="980"/>
      <c r="M52" s="981">
        <f>+M24</f>
        <v>0</v>
      </c>
      <c r="N52" s="980"/>
      <c r="O52" s="981">
        <f>+O24*N28</f>
        <v>0</v>
      </c>
      <c r="P52" s="980"/>
      <c r="Q52" s="981">
        <f>+Q24*P28</f>
        <v>0</v>
      </c>
      <c r="R52" s="980"/>
      <c r="S52" s="981">
        <f>+S24</f>
        <v>0</v>
      </c>
      <c r="T52" s="980"/>
      <c r="U52" s="981">
        <f>+U24</f>
        <v>0</v>
      </c>
      <c r="V52" s="980"/>
      <c r="W52" s="981">
        <f>+W24*V28</f>
        <v>0</v>
      </c>
    </row>
    <row r="53" spans="3:27" ht="16.2" customHeight="1" thickBot="1" x14ac:dyDescent="0.3">
      <c r="C53" s="1016" t="s">
        <v>365</v>
      </c>
      <c r="D53" s="1017">
        <f>+D25*D28</f>
        <v>10695.718799999997</v>
      </c>
      <c r="E53" s="1018">
        <f>+E25*D28</f>
        <v>16043578.200000001</v>
      </c>
      <c r="F53" s="1017"/>
      <c r="G53" s="1018">
        <f>+G25*F28</f>
        <v>0</v>
      </c>
      <c r="H53" s="1017"/>
      <c r="I53" s="1018">
        <f>+I25</f>
        <v>54938.819999999832</v>
      </c>
      <c r="J53" s="1017"/>
      <c r="K53" s="1019">
        <f>+K25</f>
        <v>423282.42000000016</v>
      </c>
      <c r="L53" s="1017"/>
      <c r="M53" s="1019">
        <f>+M25</f>
        <v>28297.210000000079</v>
      </c>
      <c r="N53" s="1017"/>
      <c r="O53" s="1018">
        <f>+O25*N28</f>
        <v>0</v>
      </c>
      <c r="P53" s="1017"/>
      <c r="Q53" s="1018">
        <f>+Q25*P28</f>
        <v>0</v>
      </c>
      <c r="R53" s="1017"/>
      <c r="S53" s="1018">
        <f>+S25</f>
        <v>69331.40000000014</v>
      </c>
      <c r="T53" s="1017"/>
      <c r="U53" s="1019">
        <f>+U25</f>
        <v>966634.14000000013</v>
      </c>
      <c r="V53" s="1017"/>
      <c r="W53" s="1018">
        <f>+W25*V28</f>
        <v>0</v>
      </c>
    </row>
    <row r="54" spans="3:27" ht="13.2" customHeight="1" x14ac:dyDescent="0.25"/>
    <row r="55" spans="3:27" ht="13.2" customHeight="1" x14ac:dyDescent="0.25"/>
    <row r="56" spans="3:27" ht="13.2" customHeight="1" x14ac:dyDescent="0.25"/>
    <row r="57" spans="3:27" ht="13.2" customHeight="1" x14ac:dyDescent="0.25"/>
    <row r="58" spans="3:27" ht="13.2" customHeight="1" x14ac:dyDescent="0.25"/>
    <row r="59" spans="3:27" ht="13.2" customHeight="1" x14ac:dyDescent="0.25"/>
    <row r="60" spans="3:27" ht="13.2" customHeight="1" x14ac:dyDescent="0.25"/>
  </sheetData>
  <sheetProtection algorithmName="SHA-512" hashValue="jYpF5vliCm6rloi7l9o7P+CqwGgWSwD30bOrGssZzSIW4OKqhXCnDf4BY3d0SWNEcyISHolJEHSOeG//8ZcD+Q==" saltValue="G6WC9HeWrAgEnQf7e5kvRg==" spinCount="100000" sheet="1" objects="1" scenarios="1"/>
  <mergeCells count="44">
    <mergeCell ref="L2:M2"/>
    <mergeCell ref="L4:M4"/>
    <mergeCell ref="L15:M15"/>
    <mergeCell ref="L28:M28"/>
    <mergeCell ref="L48:M48"/>
    <mergeCell ref="V4:W4"/>
    <mergeCell ref="V15:W15"/>
    <mergeCell ref="V28:W28"/>
    <mergeCell ref="V48:W48"/>
    <mergeCell ref="N15:O15"/>
    <mergeCell ref="P15:Q15"/>
    <mergeCell ref="R15:S15"/>
    <mergeCell ref="T15:U15"/>
    <mergeCell ref="N28:O28"/>
    <mergeCell ref="P28:Q28"/>
    <mergeCell ref="R28:S28"/>
    <mergeCell ref="T28:U28"/>
    <mergeCell ref="T2:U2"/>
    <mergeCell ref="N4:O4"/>
    <mergeCell ref="P4:Q4"/>
    <mergeCell ref="R4:S4"/>
    <mergeCell ref="T4:U4"/>
    <mergeCell ref="D48:E48"/>
    <mergeCell ref="F48:G48"/>
    <mergeCell ref="H48:I48"/>
    <mergeCell ref="J48:K48"/>
    <mergeCell ref="X48:Y48"/>
    <mergeCell ref="N48:O48"/>
    <mergeCell ref="P48:Q48"/>
    <mergeCell ref="R48:S48"/>
    <mergeCell ref="T48:U48"/>
    <mergeCell ref="J2:K2"/>
    <mergeCell ref="D4:E4"/>
    <mergeCell ref="F4:G4"/>
    <mergeCell ref="H4:I4"/>
    <mergeCell ref="J4:K4"/>
    <mergeCell ref="D28:E28"/>
    <mergeCell ref="F28:G28"/>
    <mergeCell ref="H28:I28"/>
    <mergeCell ref="J28:K28"/>
    <mergeCell ref="D15:E15"/>
    <mergeCell ref="F15:G15"/>
    <mergeCell ref="H15:I15"/>
    <mergeCell ref="J15:K15"/>
  </mergeCells>
  <printOptions horizontalCentered="1" verticalCentered="1"/>
  <pageMargins left="0.39370078740157483" right="0.39370078740157483" top="0.39370078740157483" bottom="0.39370078740157483" header="0.31496062992125978" footer="0.31496062992125978"/>
  <pageSetup paperSize="9" scale="97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Hoja8">
    <pageSetUpPr fitToPage="1"/>
  </sheetPr>
  <dimension ref="B1:AB159"/>
  <sheetViews>
    <sheetView showGridLines="0" zoomScaleNormal="100" workbookViewId="0">
      <pane ySplit="2" topLeftCell="A48" activePane="bottomLeft" state="frozen"/>
      <selection activeCell="B15" sqref="B15:F16"/>
      <selection pane="bottomLeft" activeCell="C36" sqref="C36"/>
    </sheetView>
  </sheetViews>
  <sheetFormatPr baseColWidth="10" defaultColWidth="11.44140625" defaultRowHeight="13.2" x14ac:dyDescent="0.25"/>
  <cols>
    <col min="1" max="1" width="2.5546875" style="261" customWidth="1"/>
    <col min="2" max="2" width="34.88671875" style="261" customWidth="1"/>
    <col min="3" max="3" width="8.6640625" style="261" bestFit="1" customWidth="1"/>
    <col min="4" max="4" width="11.109375" style="261" customWidth="1"/>
    <col min="5" max="5" width="11.44140625" style="261" customWidth="1"/>
    <col min="6" max="6" width="8.6640625" style="261" customWidth="1"/>
    <col min="7" max="7" width="15.6640625" style="261" customWidth="1"/>
    <col min="8" max="8" width="8.6640625" style="690" bestFit="1" customWidth="1"/>
    <col min="9" max="9" width="7.6640625" style="690" customWidth="1"/>
    <col min="10" max="22" width="9" style="690" customWidth="1"/>
    <col min="23" max="28" width="9" style="261" customWidth="1"/>
    <col min="29" max="31" width="11.44140625" style="261" customWidth="1"/>
    <col min="32" max="16384" width="11.44140625" style="261"/>
  </cols>
  <sheetData>
    <row r="1" spans="2:28" ht="12.75" customHeight="1" x14ac:dyDescent="0.25">
      <c r="B1" s="1741" t="s">
        <v>204</v>
      </c>
      <c r="C1" s="1680"/>
      <c r="D1" s="1680"/>
      <c r="E1" s="1680"/>
      <c r="F1" s="1680"/>
      <c r="G1" s="1680"/>
    </row>
    <row r="2" spans="2:28" ht="12.75" customHeight="1" thickBot="1" x14ac:dyDescent="0.3">
      <c r="B2" s="1682"/>
      <c r="C2" s="1683"/>
      <c r="D2" s="1683"/>
      <c r="E2" s="1683"/>
      <c r="F2" s="1683"/>
      <c r="G2" s="1683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</row>
    <row r="3" spans="2:28" ht="12.75" customHeight="1" x14ac:dyDescent="0.25">
      <c r="B3" s="114"/>
      <c r="C3" s="114"/>
      <c r="D3" s="114"/>
      <c r="E3" s="114"/>
      <c r="F3" s="114"/>
      <c r="I3" s="244"/>
      <c r="J3" s="244"/>
      <c r="K3" s="452" t="s">
        <v>205</v>
      </c>
      <c r="L3" s="452" t="s">
        <v>206</v>
      </c>
      <c r="M3" s="452" t="s">
        <v>207</v>
      </c>
      <c r="N3" s="452" t="s">
        <v>208</v>
      </c>
      <c r="O3" s="452" t="s">
        <v>209</v>
      </c>
      <c r="P3" s="452" t="s">
        <v>210</v>
      </c>
      <c r="Q3" s="452" t="s">
        <v>211</v>
      </c>
      <c r="R3" s="452" t="s">
        <v>212</v>
      </c>
      <c r="S3" s="452" t="s">
        <v>213</v>
      </c>
      <c r="T3" s="452" t="s">
        <v>214</v>
      </c>
      <c r="U3" s="452" t="s">
        <v>215</v>
      </c>
      <c r="V3" s="452" t="s">
        <v>216</v>
      </c>
    </row>
    <row r="4" spans="2:28" ht="12.75" customHeight="1" x14ac:dyDescent="0.25">
      <c r="B4" s="114"/>
      <c r="C4" s="114"/>
      <c r="D4" s="114"/>
      <c r="E4" s="114"/>
      <c r="F4" s="114"/>
      <c r="I4" s="244"/>
      <c r="J4" s="244"/>
      <c r="K4" s="692"/>
      <c r="L4" s="692"/>
      <c r="M4" s="692"/>
      <c r="N4" s="692"/>
      <c r="O4" s="692"/>
      <c r="P4" s="692"/>
      <c r="Q4" s="692"/>
      <c r="R4" s="692"/>
      <c r="S4" s="692"/>
      <c r="T4" s="692"/>
      <c r="U4" s="244"/>
      <c r="V4" s="244"/>
    </row>
    <row r="5" spans="2:28" ht="13.95" customHeight="1" x14ac:dyDescent="0.25">
      <c r="B5" s="123" t="s">
        <v>64</v>
      </c>
      <c r="C5" s="124"/>
      <c r="D5" s="796">
        <f>+RESUMEN!I4</f>
        <v>28500</v>
      </c>
      <c r="E5" s="125" t="s">
        <v>65</v>
      </c>
      <c r="G5" s="453" t="s">
        <v>186</v>
      </c>
      <c r="H5" s="261"/>
      <c r="K5" s="692"/>
      <c r="L5" s="692"/>
      <c r="M5" s="692"/>
      <c r="N5" s="692"/>
      <c r="O5" s="692"/>
      <c r="P5" s="692"/>
      <c r="Q5" s="692"/>
      <c r="R5" s="692"/>
      <c r="S5" s="692"/>
      <c r="T5" s="692"/>
      <c r="U5" s="244"/>
      <c r="V5" s="244"/>
    </row>
    <row r="6" spans="2:28" ht="13.95" customHeight="1" thickBot="1" x14ac:dyDescent="0.3">
      <c r="G6" s="454">
        <f>+RESUMEN!Q15</f>
        <v>1500</v>
      </c>
      <c r="H6" s="129" t="s">
        <v>187</v>
      </c>
      <c r="I6" s="261"/>
      <c r="J6" s="261"/>
      <c r="K6" s="692"/>
      <c r="L6" s="691"/>
      <c r="M6" s="691"/>
      <c r="N6" s="691"/>
      <c r="O6" s="691"/>
      <c r="P6" s="691"/>
      <c r="Q6" s="691"/>
      <c r="R6" s="691"/>
      <c r="S6" s="691"/>
      <c r="T6" s="691"/>
    </row>
    <row r="7" spans="2:28" ht="17.399999999999999" customHeight="1" thickBot="1" x14ac:dyDescent="0.3">
      <c r="B7" s="1685" t="s">
        <v>68</v>
      </c>
      <c r="C7" s="1686"/>
      <c r="D7" s="1687"/>
      <c r="H7" s="261"/>
      <c r="I7" s="261"/>
      <c r="J7" s="261"/>
      <c r="K7" s="691"/>
      <c r="L7" s="450"/>
      <c r="M7" s="450"/>
      <c r="N7" s="450"/>
      <c r="O7" s="450"/>
      <c r="P7" s="450"/>
      <c r="Q7" s="450"/>
      <c r="R7" s="450"/>
      <c r="S7" s="450"/>
      <c r="T7" s="450"/>
      <c r="U7" s="112"/>
      <c r="V7" s="112"/>
    </row>
    <row r="8" spans="2:28" x14ac:dyDescent="0.25">
      <c r="B8" s="187" t="s">
        <v>70</v>
      </c>
      <c r="C8" s="133"/>
      <c r="D8" s="133">
        <f>+RESUMEN!$Q$14</f>
        <v>3400</v>
      </c>
      <c r="E8" s="134" t="s">
        <v>65</v>
      </c>
      <c r="H8" s="261"/>
      <c r="I8" s="261"/>
      <c r="J8" s="261"/>
      <c r="K8" s="691"/>
      <c r="L8" s="691"/>
      <c r="M8" s="691"/>
      <c r="N8" s="691"/>
      <c r="O8" s="691"/>
      <c r="P8" s="691"/>
      <c r="Q8" s="691"/>
      <c r="R8" s="691"/>
      <c r="S8" s="691"/>
      <c r="T8" s="691"/>
    </row>
    <row r="9" spans="2:28" x14ac:dyDescent="0.25">
      <c r="B9" s="187" t="s">
        <v>71</v>
      </c>
      <c r="C9" s="136"/>
      <c r="D9" s="1656">
        <v>2.1000000000000001E-2</v>
      </c>
      <c r="E9" s="232" t="s">
        <v>72</v>
      </c>
      <c r="H9" s="261"/>
      <c r="I9" s="261"/>
      <c r="J9" s="261"/>
      <c r="K9" s="691"/>
      <c r="L9" s="692"/>
      <c r="M9" s="692"/>
      <c r="N9" s="692"/>
      <c r="O9" s="692"/>
      <c r="P9" s="692"/>
      <c r="Q9" s="692"/>
      <c r="R9" s="692"/>
      <c r="S9" s="692"/>
      <c r="T9" s="692"/>
      <c r="U9" s="244"/>
      <c r="V9" s="244"/>
    </row>
    <row r="10" spans="2:28" x14ac:dyDescent="0.25">
      <c r="B10" s="137" t="s">
        <v>73</v>
      </c>
      <c r="C10" s="138"/>
      <c r="D10" s="138">
        <f>+D5*(1-D9)-D8</f>
        <v>24501.5</v>
      </c>
      <c r="E10" s="134" t="s">
        <v>65</v>
      </c>
      <c r="I10" s="244"/>
      <c r="J10" s="244"/>
      <c r="K10" s="692"/>
      <c r="L10" s="692"/>
      <c r="M10" s="692"/>
      <c r="N10" s="692"/>
      <c r="O10" s="692"/>
      <c r="P10" s="692"/>
      <c r="Q10" s="692"/>
      <c r="R10" s="692"/>
      <c r="S10" s="692"/>
      <c r="T10" s="692"/>
      <c r="U10" s="244"/>
      <c r="V10" s="244"/>
    </row>
    <row r="11" spans="2:28" x14ac:dyDescent="0.25">
      <c r="B11" s="215"/>
      <c r="C11" s="230"/>
      <c r="D11" s="230"/>
      <c r="E11" s="135"/>
      <c r="I11" s="244"/>
      <c r="J11" s="244"/>
      <c r="K11" s="692"/>
      <c r="L11" s="692"/>
      <c r="M11" s="692"/>
      <c r="N11" s="692"/>
      <c r="O11" s="692"/>
      <c r="P11" s="692"/>
      <c r="Q11" s="692"/>
      <c r="R11" s="692"/>
      <c r="S11" s="692"/>
      <c r="T11" s="692"/>
      <c r="U11" s="244"/>
      <c r="V11" s="244"/>
    </row>
    <row r="12" spans="2:28" ht="13.95" customHeight="1" thickBot="1" x14ac:dyDescent="0.3">
      <c r="I12" s="244"/>
      <c r="J12" s="244"/>
      <c r="K12" s="692"/>
      <c r="L12" s="692"/>
      <c r="M12" s="692"/>
      <c r="N12" s="692"/>
      <c r="O12" s="692"/>
      <c r="P12" s="692"/>
      <c r="Q12" s="692"/>
      <c r="R12" s="692"/>
      <c r="S12" s="692"/>
      <c r="T12" s="692"/>
      <c r="U12" s="244"/>
      <c r="V12" s="244"/>
    </row>
    <row r="13" spans="2:28" ht="17.399999999999999" customHeight="1" thickBot="1" x14ac:dyDescent="0.3">
      <c r="B13" s="1189" t="s">
        <v>148</v>
      </c>
      <c r="C13" s="1190"/>
      <c r="D13" s="1191"/>
      <c r="E13" s="141" t="s">
        <v>149</v>
      </c>
      <c r="F13" s="142"/>
      <c r="G13" s="320" t="s">
        <v>76</v>
      </c>
      <c r="H13" s="146" t="s">
        <v>77</v>
      </c>
      <c r="I13" s="244"/>
      <c r="J13" s="244"/>
      <c r="K13" s="692"/>
      <c r="L13" s="692"/>
      <c r="M13" s="692"/>
      <c r="N13" s="692"/>
      <c r="O13" s="692"/>
      <c r="P13" s="692"/>
      <c r="Q13" s="692"/>
      <c r="R13" s="692"/>
      <c r="S13" s="692"/>
      <c r="T13" s="692"/>
      <c r="U13" s="244"/>
      <c r="V13" s="244"/>
    </row>
    <row r="14" spans="2:28" ht="13.95" customHeight="1" thickBot="1" x14ac:dyDescent="0.3">
      <c r="B14" s="1196" t="s">
        <v>78</v>
      </c>
      <c r="C14" s="1742" t="s">
        <v>150</v>
      </c>
      <c r="D14" s="1743"/>
      <c r="E14" s="149" t="s">
        <v>188</v>
      </c>
      <c r="F14" s="150" t="s">
        <v>82</v>
      </c>
      <c r="G14" s="322" t="s">
        <v>188</v>
      </c>
      <c r="H14" s="324" t="s">
        <v>188</v>
      </c>
      <c r="I14" s="244"/>
      <c r="J14" s="244"/>
      <c r="K14" s="692"/>
      <c r="L14" s="692"/>
      <c r="M14" s="692"/>
      <c r="N14" s="692"/>
      <c r="O14" s="692"/>
      <c r="P14" s="692"/>
      <c r="Q14" s="692"/>
      <c r="R14" s="692"/>
      <c r="S14" s="692"/>
      <c r="T14" s="692"/>
      <c r="U14" s="244"/>
      <c r="V14" s="244"/>
    </row>
    <row r="15" spans="2:28" x14ac:dyDescent="0.25">
      <c r="B15" s="1653" t="s">
        <v>1095</v>
      </c>
      <c r="C15" s="1520">
        <v>1</v>
      </c>
      <c r="D15" s="1364" t="str">
        <f>IFERROR(INDEX(Valores!E:E,MATCH(B15,Valores!C:C,0),1),"")</f>
        <v>Lts/Ha.</v>
      </c>
      <c r="E15" s="1365">
        <f>SUMIF(Valores!C:C,B15,Valores!F:F)</f>
        <v>3.5</v>
      </c>
      <c r="F15" s="1366" t="str">
        <f>IFERROR(INDEX(Valores!G:G,MATCH(B15,Valores!C:C,0),1),"")</f>
        <v>U$S/Lts.</v>
      </c>
      <c r="G15" s="855">
        <f t="shared" ref="G15:G19" si="0">+E15*C15*$G$6</f>
        <v>5250</v>
      </c>
      <c r="H15" s="856">
        <f t="shared" ref="H15:H19" si="1">G15/$D$10</f>
        <v>0.21427259555537417</v>
      </c>
      <c r="K15" s="691"/>
      <c r="L15" s="691"/>
      <c r="M15" s="691"/>
      <c r="N15" s="691"/>
      <c r="O15" s="691"/>
      <c r="P15" s="691"/>
      <c r="Q15" s="691"/>
      <c r="R15" s="691"/>
      <c r="S15" s="691"/>
      <c r="T15" s="691"/>
    </row>
    <row r="16" spans="2:28" x14ac:dyDescent="0.25">
      <c r="B16" s="1654" t="s">
        <v>1098</v>
      </c>
      <c r="C16" s="1521">
        <v>0.2</v>
      </c>
      <c r="D16" s="1364" t="str">
        <f>IFERROR(INDEX(Valores!E:E,MATCH(B16,Valores!C:C,0),1),"")</f>
        <v>Lts/Ha.</v>
      </c>
      <c r="E16" s="1365">
        <f>SUMIF(Valores!C:C,B16,Valores!F:F)</f>
        <v>18.5</v>
      </c>
      <c r="F16" s="1366" t="str">
        <f>IFERROR(INDEX(Valores!G:G,MATCH(B16,Valores!C:C,0),1),"")</f>
        <v>U$S/Lts.</v>
      </c>
      <c r="G16" s="811">
        <f t="shared" si="0"/>
        <v>5550</v>
      </c>
      <c r="H16" s="798">
        <f t="shared" si="1"/>
        <v>0.22651674387282411</v>
      </c>
      <c r="J16" s="421"/>
      <c r="K16" s="691"/>
      <c r="L16" s="691"/>
      <c r="M16" s="692"/>
      <c r="N16" s="692"/>
      <c r="O16" s="692"/>
      <c r="P16" s="692"/>
      <c r="Q16" s="692"/>
      <c r="R16" s="692"/>
      <c r="S16" s="692"/>
      <c r="T16" s="692"/>
      <c r="U16" s="244"/>
      <c r="V16" s="244"/>
      <c r="W16" s="244"/>
      <c r="X16" s="244"/>
      <c r="Y16" s="244"/>
      <c r="Z16" s="244"/>
      <c r="AA16" s="244"/>
      <c r="AB16" s="244"/>
    </row>
    <row r="17" spans="2:28" x14ac:dyDescent="0.25">
      <c r="B17" s="1654"/>
      <c r="C17" s="1521"/>
      <c r="D17" s="1364" t="str">
        <f>IFERROR(INDEX(Valores!E:E,MATCH(B17,Valores!C:C,0),1),"")</f>
        <v/>
      </c>
      <c r="E17" s="1365">
        <f>SUMIF(Valores!C:C,B17,Valores!F:F)</f>
        <v>0</v>
      </c>
      <c r="F17" s="1366" t="str">
        <f>IFERROR(INDEX(Valores!G:G,MATCH(B17,Valores!C:C,0),1),"")</f>
        <v/>
      </c>
      <c r="G17" s="811">
        <f>+E17*C17*$G$6</f>
        <v>0</v>
      </c>
      <c r="H17" s="798">
        <f>G17/$D$10</f>
        <v>0</v>
      </c>
      <c r="K17" s="691"/>
      <c r="L17" s="691"/>
      <c r="M17" s="692"/>
      <c r="N17" s="692"/>
      <c r="O17" s="692"/>
      <c r="P17" s="692"/>
      <c r="Q17" s="692"/>
      <c r="R17" s="692"/>
      <c r="S17" s="692"/>
      <c r="T17" s="692"/>
      <c r="U17" s="244"/>
      <c r="V17" s="244"/>
      <c r="W17" s="244"/>
      <c r="X17" s="244"/>
      <c r="Y17" s="244"/>
      <c r="Z17" s="244"/>
      <c r="AA17" s="244"/>
      <c r="AB17" s="244"/>
    </row>
    <row r="18" spans="2:28" x14ac:dyDescent="0.25">
      <c r="B18" s="1654"/>
      <c r="C18" s="1521"/>
      <c r="D18" s="1364" t="str">
        <f>IFERROR(INDEX(Valores!E:E,MATCH(B18,Valores!C:C,0),1),"")</f>
        <v/>
      </c>
      <c r="E18" s="1365">
        <f>SUMIF(Valores!C:C,B18,Valores!F:F)</f>
        <v>0</v>
      </c>
      <c r="F18" s="1366" t="str">
        <f>IFERROR(INDEX(Valores!G:G,MATCH(B18,Valores!C:C,0),1),"")</f>
        <v/>
      </c>
      <c r="G18" s="811">
        <f>+E18*C18*$G$6</f>
        <v>0</v>
      </c>
      <c r="H18" s="798">
        <f>G18/$D$10</f>
        <v>0</v>
      </c>
      <c r="K18" s="691"/>
      <c r="L18" s="691"/>
      <c r="M18" s="692"/>
      <c r="N18" s="692"/>
      <c r="O18" s="692"/>
      <c r="P18" s="692"/>
      <c r="Q18" s="692"/>
      <c r="R18" s="692"/>
      <c r="S18" s="692"/>
      <c r="T18" s="692"/>
      <c r="U18" s="244"/>
      <c r="V18" s="244"/>
      <c r="W18" s="244"/>
      <c r="X18" s="244"/>
      <c r="Y18" s="244"/>
      <c r="Z18" s="244"/>
      <c r="AA18" s="244"/>
      <c r="AB18" s="244"/>
    </row>
    <row r="19" spans="2:28" x14ac:dyDescent="0.25">
      <c r="B19" s="1654" t="s">
        <v>1205</v>
      </c>
      <c r="C19" s="1521">
        <v>1.7</v>
      </c>
      <c r="D19" s="1364" t="str">
        <f>IFERROR(INDEX(Valores!E:E,MATCH(B19,Valores!C:C,0),1),"")</f>
        <v>Kg/Ha.</v>
      </c>
      <c r="E19" s="1365">
        <f>SUMIF(Valores!C:C,B19,Valores!F:F)</f>
        <v>6.1</v>
      </c>
      <c r="F19" s="1366" t="str">
        <f>IFERROR(INDEX(Valores!G:G,MATCH(B19,Valores!C:C,0),1),"")</f>
        <v>U$S/Kg.</v>
      </c>
      <c r="G19" s="811">
        <f t="shared" si="0"/>
        <v>15554.999999999998</v>
      </c>
      <c r="H19" s="798">
        <f t="shared" si="1"/>
        <v>0.63485909025977993</v>
      </c>
      <c r="J19" s="421"/>
      <c r="K19" s="691"/>
      <c r="L19" s="691"/>
      <c r="M19" s="692"/>
      <c r="N19" s="692"/>
      <c r="O19" s="692"/>
      <c r="P19" s="692"/>
      <c r="Q19" s="692"/>
      <c r="R19" s="692"/>
      <c r="S19" s="692"/>
      <c r="T19" s="692"/>
      <c r="U19" s="244"/>
      <c r="V19" s="244"/>
      <c r="W19" s="244"/>
      <c r="X19" s="244"/>
      <c r="Y19" s="244"/>
      <c r="Z19" s="244"/>
      <c r="AA19" s="244"/>
      <c r="AB19" s="244"/>
    </row>
    <row r="20" spans="2:28" x14ac:dyDescent="0.25">
      <c r="B20" s="1654" t="s">
        <v>1198</v>
      </c>
      <c r="C20" s="1521">
        <v>4</v>
      </c>
      <c r="D20" s="1364" t="str">
        <f>IFERROR(INDEX(Valores!E:E,MATCH(B20,Valores!C:C,0),1),"")</f>
        <v>Lts/Ha.</v>
      </c>
      <c r="E20" s="1365">
        <f>SUMIF(Valores!C:C,B20,Valores!F:F)</f>
        <v>4.3</v>
      </c>
      <c r="F20" s="1366" t="str">
        <f>IFERROR(INDEX(Valores!G:G,MATCH(B20,Valores!C:C,0),1),"")</f>
        <v>U$S/Lts.</v>
      </c>
      <c r="G20" s="811">
        <f>+E20*C20*$G$6</f>
        <v>25800</v>
      </c>
      <c r="H20" s="798">
        <f>G20/$D$10</f>
        <v>1.0529967553006958</v>
      </c>
      <c r="J20" s="421"/>
      <c r="K20" s="691"/>
      <c r="L20" s="691"/>
      <c r="M20" s="692"/>
      <c r="N20" s="692"/>
      <c r="O20" s="692"/>
      <c r="P20" s="692"/>
      <c r="Q20" s="692"/>
      <c r="R20" s="692"/>
      <c r="S20" s="692"/>
      <c r="T20" s="692"/>
      <c r="U20" s="244"/>
      <c r="V20" s="244"/>
      <c r="W20" s="244"/>
      <c r="X20" s="244"/>
      <c r="Y20" s="244"/>
      <c r="Z20" s="244"/>
      <c r="AA20" s="244"/>
      <c r="AB20" s="244"/>
    </row>
    <row r="21" spans="2:28" x14ac:dyDescent="0.25">
      <c r="B21" s="1654" t="s">
        <v>1200</v>
      </c>
      <c r="C21" s="1521">
        <v>0.04</v>
      </c>
      <c r="D21" s="1364" t="str">
        <f>IFERROR(INDEX(Valores!E:E,MATCH(B21,Valores!C:C,0),1),"")</f>
        <v>Kg/Ha.</v>
      </c>
      <c r="E21" s="1365">
        <f>SUMIF(Valores!C:C,B21,Valores!F:F)</f>
        <v>305</v>
      </c>
      <c r="F21" s="1366" t="str">
        <f>IFERROR(INDEX(Valores!G:G,MATCH(B21,Valores!C:C,0),1),"")</f>
        <v>U$S/Kg.</v>
      </c>
      <c r="G21" s="811">
        <f>+E21*C21*$G$6</f>
        <v>18300</v>
      </c>
      <c r="H21" s="798">
        <f>G21/$D$10</f>
        <v>0.74689304736444706</v>
      </c>
      <c r="K21" s="691"/>
      <c r="L21" s="691"/>
      <c r="M21" s="692"/>
      <c r="N21" s="692"/>
      <c r="O21" s="692"/>
      <c r="P21" s="692"/>
      <c r="Q21" s="692"/>
      <c r="R21" s="692"/>
      <c r="S21" s="692"/>
      <c r="T21" s="692"/>
      <c r="U21" s="244"/>
      <c r="V21" s="244"/>
      <c r="W21" s="244"/>
      <c r="X21" s="244"/>
      <c r="Y21" s="244"/>
      <c r="Z21" s="244"/>
      <c r="AA21" s="244"/>
      <c r="AB21" s="244"/>
    </row>
    <row r="22" spans="2:28" x14ac:dyDescent="0.25">
      <c r="B22" s="1654" t="s">
        <v>1197</v>
      </c>
      <c r="C22" s="1521">
        <v>2.5</v>
      </c>
      <c r="D22" s="1364" t="str">
        <f>IFERROR(INDEX(Valores!E:E,MATCH(B22,Valores!C:C,0),1),"")</f>
        <v>Lts/Ha.</v>
      </c>
      <c r="E22" s="1365">
        <f>SUMIF(Valores!C:C,B22,Valores!F:F)</f>
        <v>4.6500000000000004</v>
      </c>
      <c r="F22" s="1366" t="str">
        <f>IFERROR(INDEX(Valores!G:G,MATCH(B22,Valores!C:C,0),1),"")</f>
        <v>U$S/Lts.</v>
      </c>
      <c r="G22" s="811">
        <f>+E22*C22*$G$6</f>
        <v>17437.5</v>
      </c>
      <c r="H22" s="798">
        <f>G22/$D$10</f>
        <v>0.71169112095177844</v>
      </c>
      <c r="K22" s="691"/>
      <c r="L22" s="691"/>
      <c r="M22" s="692"/>
      <c r="N22" s="692"/>
      <c r="O22" s="692"/>
      <c r="P22" s="692"/>
      <c r="Q22" s="692"/>
      <c r="R22" s="692"/>
      <c r="S22" s="692"/>
      <c r="T22" s="692"/>
      <c r="U22" s="244"/>
      <c r="V22" s="244"/>
      <c r="W22" s="244"/>
      <c r="X22" s="244"/>
      <c r="Y22" s="244"/>
      <c r="Z22" s="244"/>
      <c r="AA22" s="244"/>
      <c r="AB22" s="244"/>
    </row>
    <row r="23" spans="2:28" x14ac:dyDescent="0.25">
      <c r="B23" s="1654" t="s">
        <v>1209</v>
      </c>
      <c r="C23" s="1521">
        <v>0.1</v>
      </c>
      <c r="D23" s="1364" t="str">
        <f>IFERROR(INDEX(Valores!E:E,MATCH(B23,Valores!C:C,0),1),"")</f>
        <v>Lts/Ha.</v>
      </c>
      <c r="E23" s="1365">
        <f>SUMIF(Valores!C:C,B23,Valores!F:F)</f>
        <v>305</v>
      </c>
      <c r="F23" s="1366" t="str">
        <f>IFERROR(INDEX(Valores!G:G,MATCH(B23,Valores!C:C,0),1),"")</f>
        <v>U$S/Lts.</v>
      </c>
      <c r="G23" s="811">
        <f t="shared" ref="G23:G30" si="2">+E23*C23*$G$6</f>
        <v>45750</v>
      </c>
      <c r="H23" s="798">
        <f t="shared" ref="H23:H30" si="3">G23/$D$10</f>
        <v>1.8672326184111177</v>
      </c>
      <c r="K23" s="691"/>
      <c r="L23" s="691"/>
      <c r="M23" s="692"/>
      <c r="N23" s="692"/>
      <c r="O23" s="692"/>
      <c r="P23" s="692"/>
      <c r="Q23" s="692"/>
      <c r="R23" s="692"/>
      <c r="S23" s="692"/>
      <c r="T23" s="692"/>
      <c r="U23" s="244"/>
      <c r="V23" s="244"/>
      <c r="W23" s="244"/>
      <c r="X23" s="244"/>
      <c r="Y23" s="244"/>
      <c r="Z23" s="244"/>
      <c r="AA23" s="244"/>
      <c r="AB23" s="244"/>
    </row>
    <row r="24" spans="2:28" x14ac:dyDescent="0.25">
      <c r="B24" s="1654"/>
      <c r="C24" s="1521"/>
      <c r="D24" s="1364" t="str">
        <f>IFERROR(INDEX(Valores!E:E,MATCH(B24,Valores!C:C,0),1),"")</f>
        <v/>
      </c>
      <c r="E24" s="1365">
        <f>SUMIF(Valores!C:C,B24,Valores!F:F)</f>
        <v>0</v>
      </c>
      <c r="F24" s="1366" t="str">
        <f>IFERROR(INDEX(Valores!G:G,MATCH(B24,Valores!C:C,0),1),"")</f>
        <v/>
      </c>
      <c r="G24" s="811">
        <f t="shared" ref="G24" si="4">+E24*C24*$G$6</f>
        <v>0</v>
      </c>
      <c r="H24" s="798">
        <f t="shared" si="3"/>
        <v>0</v>
      </c>
      <c r="K24" s="691"/>
      <c r="L24" s="691"/>
      <c r="M24" s="692"/>
      <c r="N24" s="692"/>
      <c r="O24" s="692"/>
      <c r="P24" s="692"/>
      <c r="Q24" s="692"/>
      <c r="R24" s="692"/>
      <c r="S24" s="692"/>
      <c r="T24" s="692"/>
      <c r="U24" s="244"/>
      <c r="V24" s="244"/>
      <c r="W24" s="244"/>
      <c r="X24" s="244"/>
      <c r="Y24" s="244"/>
      <c r="Z24" s="244"/>
      <c r="AA24" s="244"/>
      <c r="AB24" s="244"/>
    </row>
    <row r="25" spans="2:28" x14ac:dyDescent="0.25">
      <c r="B25" s="1654" t="s">
        <v>1206</v>
      </c>
      <c r="C25" s="1521">
        <v>0.04</v>
      </c>
      <c r="D25" s="1364" t="str">
        <f>IFERROR(INDEX(Valores!E:E,MATCH(B25,Valores!C:C,0),1),"")</f>
        <v>Kg/Ha.</v>
      </c>
      <c r="E25" s="1365">
        <f>SUMIF(Valores!C:C,B25,Valores!F:F)</f>
        <v>258</v>
      </c>
      <c r="F25" s="1366" t="str">
        <f>IFERROR(INDEX(Valores!G:G,MATCH(B25,Valores!C:C,0),1),"")</f>
        <v>U$S/Kg.</v>
      </c>
      <c r="G25" s="811">
        <f t="shared" si="2"/>
        <v>15480</v>
      </c>
      <c r="H25" s="798">
        <f t="shared" si="3"/>
        <v>0.63179805318041748</v>
      </c>
      <c r="K25" s="691"/>
      <c r="L25" s="691"/>
      <c r="M25" s="692"/>
      <c r="N25" s="692"/>
      <c r="O25" s="692"/>
      <c r="P25" s="692"/>
      <c r="Q25" s="692"/>
      <c r="R25" s="692"/>
      <c r="S25" s="692"/>
      <c r="T25" s="692"/>
      <c r="U25" s="244"/>
      <c r="V25" s="244"/>
      <c r="W25" s="244"/>
      <c r="X25" s="244"/>
      <c r="Y25" s="244"/>
      <c r="Z25" s="244"/>
      <c r="AA25" s="244"/>
      <c r="AB25" s="244"/>
    </row>
    <row r="26" spans="2:28" x14ac:dyDescent="0.25">
      <c r="B26" s="1654" t="s">
        <v>1202</v>
      </c>
      <c r="C26" s="1521">
        <v>0.18</v>
      </c>
      <c r="D26" s="1364" t="str">
        <f>IFERROR(INDEX(Valores!E:E,MATCH(B26,Valores!C:C,0),1),"")</f>
        <v>Lts/Ha.</v>
      </c>
      <c r="E26" s="1365">
        <f>SUMIF(Valores!C:C,B26,Valores!F:F)</f>
        <v>84</v>
      </c>
      <c r="F26" s="1366" t="str">
        <f>IFERROR(INDEX(Valores!G:G,MATCH(B26,Valores!C:C,0),1),"")</f>
        <v>U$S/Lts.</v>
      </c>
      <c r="G26" s="811">
        <f t="shared" si="2"/>
        <v>22680</v>
      </c>
      <c r="H26" s="798">
        <f t="shared" si="3"/>
        <v>0.92565761279921632</v>
      </c>
      <c r="K26" s="691"/>
      <c r="L26" s="691"/>
      <c r="M26" s="692"/>
      <c r="N26" s="692"/>
      <c r="O26" s="692"/>
      <c r="P26" s="692"/>
      <c r="Q26" s="692"/>
      <c r="R26" s="692"/>
      <c r="S26" s="692"/>
      <c r="T26" s="692"/>
      <c r="U26" s="244"/>
      <c r="V26" s="244"/>
      <c r="W26" s="244"/>
      <c r="X26" s="244"/>
      <c r="Y26" s="244"/>
      <c r="Z26" s="244"/>
      <c r="AA26" s="244"/>
      <c r="AB26" s="244"/>
    </row>
    <row r="27" spans="2:28" x14ac:dyDescent="0.25">
      <c r="B27" s="1654" t="s">
        <v>1210</v>
      </c>
      <c r="C27" s="1521">
        <v>1.6</v>
      </c>
      <c r="D27" s="1364" t="str">
        <f>IFERROR(INDEX(Valores!E:E,MATCH(B27,Valores!C:C,0),1),"")</f>
        <v>Kg/Ha.</v>
      </c>
      <c r="E27" s="1365">
        <f>SUMIF(Valores!C:C,B27,Valores!F:F)</f>
        <v>6.95</v>
      </c>
      <c r="F27" s="1366" t="str">
        <f>IFERROR(INDEX(Valores!G:G,MATCH(B27,Valores!C:C,0),1),"")</f>
        <v>U$S/Kg.</v>
      </c>
      <c r="G27" s="811">
        <f t="shared" si="2"/>
        <v>16680</v>
      </c>
      <c r="H27" s="798">
        <f t="shared" si="3"/>
        <v>0.68077464645021735</v>
      </c>
      <c r="K27" s="691"/>
      <c r="L27" s="691"/>
      <c r="M27" s="692"/>
      <c r="N27" s="692"/>
      <c r="O27" s="692"/>
      <c r="P27" s="692"/>
      <c r="Q27" s="692"/>
      <c r="R27" s="692"/>
      <c r="S27" s="692"/>
      <c r="T27" s="692"/>
      <c r="U27" s="244"/>
      <c r="V27" s="244"/>
      <c r="W27" s="244"/>
      <c r="X27" s="244"/>
      <c r="Y27" s="244"/>
      <c r="Z27" s="244"/>
      <c r="AA27" s="244"/>
      <c r="AB27" s="244"/>
    </row>
    <row r="28" spans="2:28" x14ac:dyDescent="0.25">
      <c r="B28" s="1654"/>
      <c r="C28" s="1521"/>
      <c r="D28" s="1364" t="str">
        <f>IFERROR(INDEX(Valores!E:E,MATCH(B28,Valores!C:C,0),1),"")</f>
        <v/>
      </c>
      <c r="E28" s="1365">
        <f>SUMIF(Valores!C:C,B28,Valores!F:F)</f>
        <v>0</v>
      </c>
      <c r="F28" s="1366" t="str">
        <f>IFERROR(INDEX(Valores!G:G,MATCH(B28,Valores!C:C,0),1),"")</f>
        <v/>
      </c>
      <c r="G28" s="811">
        <f t="shared" si="2"/>
        <v>0</v>
      </c>
      <c r="H28" s="798">
        <f t="shared" si="3"/>
        <v>0</v>
      </c>
      <c r="K28" s="691"/>
      <c r="L28" s="691"/>
      <c r="M28" s="692"/>
      <c r="N28" s="692"/>
      <c r="O28" s="692"/>
      <c r="P28" s="692"/>
      <c r="Q28" s="692"/>
      <c r="R28" s="692"/>
      <c r="S28" s="692"/>
      <c r="T28" s="692"/>
      <c r="U28" s="244"/>
      <c r="V28" s="244"/>
      <c r="W28" s="244"/>
      <c r="X28" s="244"/>
      <c r="Y28" s="244"/>
      <c r="Z28" s="244"/>
      <c r="AA28" s="244"/>
      <c r="AB28" s="244"/>
    </row>
    <row r="29" spans="2:28" x14ac:dyDescent="0.25">
      <c r="B29" s="1654"/>
      <c r="C29" s="1521"/>
      <c r="D29" s="1364" t="str">
        <f>IFERROR(INDEX(Valores!E:E,MATCH(B29,Valores!C:C,0),1),"")</f>
        <v/>
      </c>
      <c r="E29" s="1365">
        <f>SUMIF(Valores!C:C,B29,Valores!F:F)</f>
        <v>0</v>
      </c>
      <c r="F29" s="1366" t="str">
        <f>IFERROR(INDEX(Valores!G:G,MATCH(B29,Valores!C:C,0),1),"")</f>
        <v/>
      </c>
      <c r="G29" s="811">
        <f t="shared" si="2"/>
        <v>0</v>
      </c>
      <c r="H29" s="798">
        <f t="shared" si="3"/>
        <v>0</v>
      </c>
      <c r="K29" s="691"/>
      <c r="L29" s="691"/>
      <c r="M29" s="692"/>
      <c r="N29" s="692"/>
      <c r="O29" s="692"/>
      <c r="P29" s="692"/>
      <c r="Q29" s="692"/>
      <c r="R29" s="692"/>
      <c r="S29" s="692"/>
      <c r="T29" s="692"/>
      <c r="U29" s="244"/>
      <c r="V29" s="244"/>
      <c r="W29" s="244"/>
      <c r="X29" s="244"/>
      <c r="Y29" s="244"/>
      <c r="Z29" s="244"/>
      <c r="AA29" s="244"/>
      <c r="AB29" s="244"/>
    </row>
    <row r="30" spans="2:28" x14ac:dyDescent="0.25">
      <c r="B30" s="1654"/>
      <c r="C30" s="1521"/>
      <c r="D30" s="1364" t="str">
        <f>IFERROR(INDEX(Valores!E:E,MATCH(B30,Valores!C:C,0),1),"")</f>
        <v/>
      </c>
      <c r="E30" s="1365">
        <f>SUMIF(Valores!C:C,B30,Valores!F:F)</f>
        <v>0</v>
      </c>
      <c r="F30" s="1366" t="str">
        <f>IFERROR(INDEX(Valores!G:G,MATCH(B30,Valores!C:C,0),1),"")</f>
        <v/>
      </c>
      <c r="G30" s="811">
        <f t="shared" si="2"/>
        <v>0</v>
      </c>
      <c r="H30" s="798">
        <f t="shared" si="3"/>
        <v>0</v>
      </c>
      <c r="K30" s="691"/>
      <c r="L30" s="691"/>
      <c r="M30" s="692"/>
      <c r="N30" s="692"/>
      <c r="O30" s="692"/>
      <c r="P30" s="692"/>
      <c r="Q30" s="692"/>
      <c r="R30" s="692"/>
      <c r="S30" s="692"/>
      <c r="T30" s="692"/>
      <c r="U30" s="244"/>
      <c r="V30" s="244"/>
      <c r="W30" s="244"/>
      <c r="X30" s="244"/>
      <c r="Y30" s="244"/>
      <c r="Z30" s="244"/>
      <c r="AA30" s="244"/>
      <c r="AB30" s="244"/>
    </row>
    <row r="31" spans="2:28" x14ac:dyDescent="0.25">
      <c r="B31" s="1654"/>
      <c r="C31" s="1521"/>
      <c r="D31" s="1364" t="str">
        <f>IFERROR(INDEX(Valores!E:E,MATCH(B31,Valores!C:C,0),1),"")</f>
        <v/>
      </c>
      <c r="E31" s="1365">
        <f>SUMIF(Valores!C:C,B31,Valores!F:F)</f>
        <v>0</v>
      </c>
      <c r="F31" s="1366" t="str">
        <f>IFERROR(INDEX(Valores!G:G,MATCH(B31,Valores!C:C,0),1),"")</f>
        <v/>
      </c>
      <c r="G31" s="811">
        <f>+E31*C31*$G$6</f>
        <v>0</v>
      </c>
      <c r="H31" s="798">
        <f t="shared" ref="H31:H33" si="5">G31/$D$10</f>
        <v>0</v>
      </c>
      <c r="J31" s="421"/>
      <c r="K31" s="691"/>
      <c r="L31" s="691"/>
      <c r="M31" s="692"/>
      <c r="N31" s="692"/>
      <c r="O31" s="692"/>
      <c r="P31" s="692"/>
      <c r="Q31" s="692"/>
      <c r="R31" s="692"/>
      <c r="S31" s="692"/>
      <c r="T31" s="692"/>
      <c r="U31" s="244"/>
      <c r="V31" s="244"/>
      <c r="W31" s="244"/>
      <c r="X31" s="244"/>
      <c r="Y31" s="244"/>
      <c r="Z31" s="244"/>
      <c r="AA31" s="244"/>
      <c r="AB31" s="244"/>
    </row>
    <row r="32" spans="2:28" x14ac:dyDescent="0.25">
      <c r="B32" s="1654"/>
      <c r="C32" s="1521"/>
      <c r="D32" s="1364" t="str">
        <f>IFERROR(INDEX(Valores!E:E,MATCH(B32,Valores!C:C,0),1),"")</f>
        <v/>
      </c>
      <c r="E32" s="1365">
        <f>SUMIF(Valores!C:C,B32,Valores!F:F)</f>
        <v>0</v>
      </c>
      <c r="F32" s="1366" t="str">
        <f>IFERROR(INDEX(Valores!G:G,MATCH(B32,Valores!C:C,0),1),"")</f>
        <v/>
      </c>
      <c r="G32" s="811">
        <f t="shared" ref="G32:G33" si="6">+E32*C32*$G$6</f>
        <v>0</v>
      </c>
      <c r="H32" s="798">
        <f t="shared" si="5"/>
        <v>0</v>
      </c>
    </row>
    <row r="33" spans="2:28" x14ac:dyDescent="0.25">
      <c r="B33" s="1654"/>
      <c r="C33" s="1521"/>
      <c r="D33" s="1364" t="str">
        <f>IFERROR(INDEX(Valores!E:E,MATCH(B33,Valores!C:C,0),1),"")</f>
        <v/>
      </c>
      <c r="E33" s="1365">
        <f>SUMIF(Valores!C:C,B33,Valores!F:F)</f>
        <v>0</v>
      </c>
      <c r="F33" s="1366" t="str">
        <f>IFERROR(INDEX(Valores!G:G,MATCH(B33,Valores!C:C,0),1),"")</f>
        <v/>
      </c>
      <c r="G33" s="811">
        <f t="shared" si="6"/>
        <v>0</v>
      </c>
      <c r="H33" s="798">
        <f t="shared" si="5"/>
        <v>0</v>
      </c>
      <c r="K33" s="691"/>
      <c r="L33" s="691"/>
      <c r="M33" s="692"/>
      <c r="N33" s="692"/>
      <c r="O33" s="692"/>
      <c r="P33" s="692"/>
      <c r="Q33" s="692"/>
      <c r="R33" s="692"/>
      <c r="S33" s="692"/>
      <c r="T33" s="692"/>
      <c r="U33" s="244"/>
      <c r="V33" s="244"/>
      <c r="W33" s="244"/>
      <c r="X33" s="244"/>
      <c r="Y33" s="244"/>
      <c r="Z33" s="244"/>
      <c r="AA33" s="244"/>
      <c r="AB33" s="244"/>
    </row>
    <row r="34" spans="2:28" ht="14.4" customHeight="1" thickBot="1" x14ac:dyDescent="0.3">
      <c r="B34" s="172" t="s">
        <v>94</v>
      </c>
      <c r="C34" s="699"/>
      <c r="D34" s="700"/>
      <c r="E34" s="1159">
        <f>+G34/$G$6</f>
        <v>125.655</v>
      </c>
      <c r="F34" s="676" t="s">
        <v>95</v>
      </c>
      <c r="G34" s="812">
        <f>SUM(G15:G33)</f>
        <v>188482.5</v>
      </c>
      <c r="H34" s="802">
        <f>SUM(H15:H33)</f>
        <v>7.6926922841458678</v>
      </c>
      <c r="K34" s="691"/>
      <c r="L34" s="691"/>
      <c r="M34" s="692"/>
      <c r="N34" s="692"/>
      <c r="O34" s="692"/>
      <c r="P34" s="692"/>
      <c r="Q34" s="692"/>
      <c r="R34" s="692"/>
      <c r="S34" s="692"/>
      <c r="T34" s="692"/>
      <c r="U34" s="244"/>
      <c r="V34" s="244"/>
      <c r="W34" s="244"/>
      <c r="X34" s="244"/>
      <c r="Y34" s="244"/>
      <c r="Z34" s="244"/>
      <c r="AA34" s="244"/>
      <c r="AB34" s="244"/>
    </row>
    <row r="35" spans="2:28" x14ac:dyDescent="0.25">
      <c r="B35" s="1654" t="s">
        <v>1090</v>
      </c>
      <c r="C35" s="1521">
        <v>110</v>
      </c>
      <c r="D35" s="1364" t="str">
        <f>IFERROR(INDEX(Valores!E:E,MATCH(B35,Valores!C:C,0),1),"")</f>
        <v>Kg/Ha.</v>
      </c>
      <c r="E35" s="1365">
        <f>SUMIF(Valores!C:C,B35,Valores!F:F)</f>
        <v>1100</v>
      </c>
      <c r="F35" s="1366" t="str">
        <f>IFERROR(INDEX(Valores!G:G,MATCH(B35,Valores!C:C,0),1),"")</f>
        <v>U$S/ton.</v>
      </c>
      <c r="G35" s="811">
        <f t="shared" ref="G35:G38" si="7">+E35*C35*$G$6/1000</f>
        <v>181500</v>
      </c>
      <c r="H35" s="798">
        <f t="shared" ref="H35:H38" si="8">G35/$D$10</f>
        <v>7.4077097320572207</v>
      </c>
      <c r="I35" s="244"/>
      <c r="J35" s="244"/>
      <c r="K35" s="692"/>
      <c r="L35" s="692"/>
      <c r="M35" s="692"/>
      <c r="N35" s="692"/>
      <c r="O35" s="692"/>
      <c r="P35" s="692"/>
      <c r="Q35" s="692"/>
      <c r="R35" s="692"/>
      <c r="S35" s="692"/>
      <c r="T35" s="692"/>
      <c r="U35" s="244"/>
      <c r="V35" s="244"/>
      <c r="W35" s="244"/>
      <c r="X35" s="244"/>
      <c r="Y35" s="244"/>
      <c r="Z35" s="244"/>
      <c r="AA35" s="244"/>
      <c r="AB35" s="244"/>
    </row>
    <row r="36" spans="2:28" x14ac:dyDescent="0.25">
      <c r="B36" s="1654" t="s">
        <v>1093</v>
      </c>
      <c r="C36" s="1521">
        <v>250</v>
      </c>
      <c r="D36" s="1364" t="str">
        <f>IFERROR(INDEX(Valores!E:E,MATCH(B36,Valores!C:C,0),1),"")</f>
        <v>Kg/Ha.</v>
      </c>
      <c r="E36" s="1365">
        <f>SUMIF(Valores!C:C,B36,Valores!F:F)</f>
        <v>970</v>
      </c>
      <c r="F36" s="1366" t="str">
        <f>IFERROR(INDEX(Valores!G:G,MATCH(B36,Valores!C:C,0),1),"")</f>
        <v>U$S/ton.</v>
      </c>
      <c r="G36" s="811">
        <f t="shared" si="7"/>
        <v>363750</v>
      </c>
      <c r="H36" s="798">
        <f t="shared" si="8"/>
        <v>14.846029834908068</v>
      </c>
      <c r="I36" s="244"/>
      <c r="J36" s="244"/>
      <c r="K36" s="692"/>
      <c r="L36" s="692"/>
      <c r="M36" s="692"/>
      <c r="N36" s="692"/>
      <c r="O36" s="692"/>
      <c r="P36" s="692"/>
      <c r="Q36" s="692"/>
      <c r="R36" s="692"/>
      <c r="S36" s="692"/>
      <c r="T36" s="692"/>
      <c r="U36" s="244"/>
      <c r="V36" s="244"/>
      <c r="W36" s="244"/>
      <c r="X36" s="244"/>
      <c r="Y36" s="244"/>
      <c r="Z36" s="244"/>
      <c r="AA36" s="244"/>
      <c r="AB36" s="244"/>
    </row>
    <row r="37" spans="2:28" x14ac:dyDescent="0.25">
      <c r="B37" s="1654"/>
      <c r="C37" s="1521"/>
      <c r="D37" s="1364" t="str">
        <f>IFERROR(INDEX(Valores!E:E,MATCH(B37,Valores!C:C,0),1),"")</f>
        <v/>
      </c>
      <c r="E37" s="1365">
        <f>SUMIF(Valores!C:C,B37,Valores!F:F)</f>
        <v>0</v>
      </c>
      <c r="F37" s="1366" t="str">
        <f>IFERROR(INDEX(Valores!G:G,MATCH(B37,Valores!C:C,0),1),"")</f>
        <v/>
      </c>
      <c r="G37" s="811">
        <f>+E37*C37*$G$6/1000</f>
        <v>0</v>
      </c>
      <c r="H37" s="798">
        <f t="shared" si="8"/>
        <v>0</v>
      </c>
      <c r="I37" s="244"/>
      <c r="J37" s="244"/>
      <c r="K37" s="692"/>
      <c r="L37" s="692"/>
      <c r="M37" s="692"/>
      <c r="N37" s="692"/>
      <c r="O37" s="692"/>
      <c r="P37" s="692"/>
      <c r="Q37" s="692"/>
      <c r="R37" s="692"/>
      <c r="S37" s="692"/>
      <c r="T37" s="692"/>
      <c r="U37" s="244"/>
      <c r="V37" s="244"/>
    </row>
    <row r="38" spans="2:28" x14ac:dyDescent="0.25">
      <c r="B38" s="1654"/>
      <c r="C38" s="1521"/>
      <c r="D38" s="1364" t="str">
        <f>IFERROR(INDEX(Valores!E:E,MATCH(B38,Valores!C:C,0),1),"")</f>
        <v/>
      </c>
      <c r="E38" s="1365">
        <f>SUMIF(Valores!C:C,B38,Valores!F:F)</f>
        <v>0</v>
      </c>
      <c r="F38" s="1366" t="str">
        <f>IFERROR(INDEX(Valores!G:G,MATCH(B38,Valores!C:C,0),1),"")</f>
        <v/>
      </c>
      <c r="G38" s="811">
        <f t="shared" si="7"/>
        <v>0</v>
      </c>
      <c r="H38" s="798">
        <f t="shared" si="8"/>
        <v>0</v>
      </c>
      <c r="I38" s="244"/>
      <c r="J38" s="244"/>
      <c r="K38" s="692"/>
      <c r="L38" s="692"/>
      <c r="M38" s="692"/>
      <c r="N38" s="692"/>
      <c r="O38" s="692"/>
      <c r="P38" s="692"/>
      <c r="Q38" s="692"/>
      <c r="R38" s="692"/>
      <c r="S38" s="692"/>
      <c r="T38" s="692"/>
      <c r="U38" s="244"/>
      <c r="V38" s="244"/>
    </row>
    <row r="39" spans="2:28" ht="14.4" customHeight="1" thickBot="1" x14ac:dyDescent="0.3">
      <c r="B39" s="1551" t="s">
        <v>100</v>
      </c>
      <c r="C39" s="1447"/>
      <c r="D39" s="1448"/>
      <c r="E39" s="1552">
        <f>+G39/$G$6</f>
        <v>363.5</v>
      </c>
      <c r="F39" s="1553" t="s">
        <v>95</v>
      </c>
      <c r="G39" s="1451">
        <f>SUM(G35:G38)</f>
        <v>545250</v>
      </c>
      <c r="H39" s="1451">
        <f>SUM(H35:H38)</f>
        <v>22.253739566965287</v>
      </c>
      <c r="K39" s="691"/>
      <c r="L39" s="691"/>
      <c r="M39" s="691"/>
      <c r="N39" s="691"/>
      <c r="O39" s="691"/>
      <c r="P39" s="691"/>
      <c r="Q39" s="691"/>
      <c r="R39" s="691"/>
      <c r="S39" s="691"/>
      <c r="T39" s="691"/>
    </row>
    <row r="40" spans="2:28" ht="13.8" x14ac:dyDescent="0.25">
      <c r="B40" s="1653"/>
      <c r="C40" s="1520">
        <v>0</v>
      </c>
      <c r="D40" s="1564" t="str">
        <f>IFERROR(INDEX(Valores!E:E,MATCH(B40,Valores!C:C,0),1),"")</f>
        <v/>
      </c>
      <c r="E40" s="1565">
        <f>SUMIF(Valores!C:C,B40,Valores!F:F)</f>
        <v>0</v>
      </c>
      <c r="F40" s="1566" t="str">
        <f>IFERROR(INDEX(Valores!G:G,MATCH(B40,Valores!C:C,0),1),"")</f>
        <v/>
      </c>
      <c r="G40" s="1567">
        <f>+E40*C40*$G$6</f>
        <v>0</v>
      </c>
      <c r="H40" s="1568">
        <f>G40/$D$10</f>
        <v>0</v>
      </c>
      <c r="I40" s="1382"/>
      <c r="J40" s="244"/>
      <c r="K40" s="692"/>
      <c r="L40" s="692"/>
      <c r="M40" s="692"/>
      <c r="N40" s="692"/>
      <c r="O40" s="692"/>
      <c r="P40" s="692"/>
      <c r="Q40" s="692"/>
      <c r="R40" s="692"/>
      <c r="S40" s="692"/>
      <c r="T40" s="692"/>
      <c r="U40" s="244"/>
      <c r="V40" s="244"/>
    </row>
    <row r="41" spans="2:28" ht="14.4" customHeight="1" x14ac:dyDescent="0.25">
      <c r="B41" s="1654" t="s">
        <v>38</v>
      </c>
      <c r="C41" s="1521">
        <v>1</v>
      </c>
      <c r="D41" s="1377" t="str">
        <f>IFERROR(INDEX(Valores!E:E,MATCH(B41,Valores!C:C,0),1),"")</f>
        <v>bls./Ha.</v>
      </c>
      <c r="E41" s="1378">
        <f>SUMIF(Valores!C:C,B41,Valores!F:F)</f>
        <v>190</v>
      </c>
      <c r="F41" s="1456" t="str">
        <f>IFERROR(INDEX(Valores!G:G,MATCH(B41,Valores!C:C,0),1),"")</f>
        <v>U$S/bls.</v>
      </c>
      <c r="G41" s="1557">
        <f>+E41*C41*$G$6</f>
        <v>285000</v>
      </c>
      <c r="H41" s="1558">
        <f>G41/$D$10</f>
        <v>11.631940901577455</v>
      </c>
      <c r="I41" s="1383"/>
      <c r="J41" s="244"/>
      <c r="K41" s="692"/>
      <c r="L41" s="692"/>
      <c r="M41" s="692"/>
      <c r="N41" s="692"/>
      <c r="O41" s="692"/>
      <c r="P41" s="692"/>
      <c r="Q41" s="692"/>
      <c r="R41" s="692"/>
      <c r="S41" s="692"/>
      <c r="T41" s="692"/>
      <c r="U41" s="244"/>
      <c r="V41" s="244"/>
    </row>
    <row r="42" spans="2:28" ht="14.4" customHeight="1" x14ac:dyDescent="0.25">
      <c r="B42" s="1654"/>
      <c r="C42" s="1521"/>
      <c r="D42" s="1377" t="str">
        <f>IFERROR(INDEX(Valores!E:E,MATCH(B42,Valores!C:C,0),1),"")</f>
        <v/>
      </c>
      <c r="E42" s="1378">
        <f>SUMIF(Valores!C:C,B42,Valores!F:F)</f>
        <v>0</v>
      </c>
      <c r="F42" s="1456" t="str">
        <f>IFERROR(INDEX(Valores!G:G,MATCH(B42,Valores!C:C,0),1),"")</f>
        <v/>
      </c>
      <c r="G42" s="1557">
        <f>+E42*C42*$G$6</f>
        <v>0</v>
      </c>
      <c r="H42" s="1558">
        <f>G42/$D$10</f>
        <v>0</v>
      </c>
      <c r="I42" s="1383"/>
      <c r="J42" s="244"/>
      <c r="K42" s="692"/>
      <c r="L42" s="692"/>
      <c r="M42" s="692"/>
      <c r="N42" s="692"/>
      <c r="O42" s="692"/>
      <c r="P42" s="692"/>
      <c r="Q42" s="692"/>
      <c r="R42" s="692"/>
      <c r="S42" s="692"/>
      <c r="T42" s="692"/>
      <c r="U42" s="244"/>
      <c r="V42" s="244"/>
    </row>
    <row r="43" spans="2:28" ht="14.4" thickBot="1" x14ac:dyDescent="0.3">
      <c r="B43" s="172" t="s">
        <v>1212</v>
      </c>
      <c r="C43" s="1462"/>
      <c r="D43" s="1559"/>
      <c r="E43" s="1560">
        <f>+G43/G6</f>
        <v>190</v>
      </c>
      <c r="F43" s="1561"/>
      <c r="G43" s="1562">
        <f>SUM(G41:G42)</f>
        <v>285000</v>
      </c>
      <c r="H43" s="1563">
        <f>SUM(H41:H42)</f>
        <v>11.631940901577455</v>
      </c>
      <c r="I43" s="1382"/>
      <c r="J43" s="244"/>
      <c r="K43" s="692"/>
      <c r="L43" s="692"/>
      <c r="M43" s="692"/>
      <c r="N43" s="692"/>
      <c r="O43" s="692"/>
      <c r="P43" s="692"/>
      <c r="Q43" s="692"/>
      <c r="R43" s="692"/>
      <c r="S43" s="692"/>
      <c r="T43" s="692"/>
      <c r="U43" s="244"/>
      <c r="V43" s="244"/>
    </row>
    <row r="44" spans="2:28" x14ac:dyDescent="0.25">
      <c r="B44" s="1655" t="s">
        <v>54</v>
      </c>
      <c r="C44" s="1533">
        <v>1</v>
      </c>
      <c r="D44" s="1416" t="str">
        <f>IFERROR(INDEX(Valores!E:E,MATCH(B44,Valores!C:C,0),1),"")</f>
        <v>Siembra</v>
      </c>
      <c r="E44" s="1422">
        <f>SUMIF(Valores!C:C,B44,Valores!F:F)</f>
        <v>55</v>
      </c>
      <c r="F44" s="1403" t="str">
        <f>IFERROR(INDEX(Valores!G:G,MATCH(B44,Valores!C:C,0),1),"")</f>
        <v>U$S/Ha.</v>
      </c>
      <c r="G44" s="813">
        <f>C44*E44*$G$6</f>
        <v>82500</v>
      </c>
      <c r="H44" s="803">
        <f>G44/$D$10</f>
        <v>3.3671407872987369</v>
      </c>
      <c r="I44" s="244"/>
      <c r="J44" s="244"/>
      <c r="K44" s="692"/>
      <c r="L44" s="692"/>
      <c r="M44" s="692"/>
      <c r="N44" s="692"/>
      <c r="O44" s="692"/>
      <c r="P44" s="692"/>
      <c r="Q44" s="692"/>
      <c r="R44" s="692"/>
      <c r="S44" s="692"/>
      <c r="T44" s="692"/>
      <c r="U44" s="244"/>
      <c r="V44" s="244"/>
    </row>
    <row r="45" spans="2:28" x14ac:dyDescent="0.25">
      <c r="B45" s="1654" t="s">
        <v>44</v>
      </c>
      <c r="C45" s="1521">
        <v>1</v>
      </c>
      <c r="D45" s="1364" t="str">
        <f>IFERROR(INDEX(Valores!E:E,MATCH(B45,Valores!C:C,0),1),"")</f>
        <v>Aplicaciones</v>
      </c>
      <c r="E45" s="1365">
        <f>SUMIF(Valores!C:C,B45,Valores!F:F)</f>
        <v>26</v>
      </c>
      <c r="F45" s="1366" t="str">
        <f>IFERROR(INDEX(Valores!G:G,MATCH(B45,Valores!C:C,0),1),"")</f>
        <v>U$S/Ha.</v>
      </c>
      <c r="G45" s="811">
        <f t="shared" ref="G45:G47" si="9">C45*E45*$G$6</f>
        <v>39000</v>
      </c>
      <c r="H45" s="798">
        <f>G45/$D$10</f>
        <v>1.5917392812684938</v>
      </c>
      <c r="I45" s="244"/>
      <c r="J45" s="244"/>
      <c r="K45" s="692"/>
      <c r="L45" s="692"/>
      <c r="M45" s="692"/>
      <c r="N45" s="692"/>
      <c r="O45" s="692"/>
      <c r="P45" s="692"/>
      <c r="Q45" s="692"/>
      <c r="R45" s="692"/>
      <c r="S45" s="692"/>
      <c r="T45" s="692"/>
      <c r="U45" s="244"/>
      <c r="V45" s="244"/>
    </row>
    <row r="46" spans="2:28" x14ac:dyDescent="0.25">
      <c r="B46" s="1654" t="s">
        <v>48</v>
      </c>
      <c r="C46" s="1521">
        <v>3</v>
      </c>
      <c r="D46" s="1364" t="str">
        <f>IFERROR(INDEX(Valores!E:E,MATCH(B46,Valores!C:C,0),1),"")</f>
        <v>Aplicaciones</v>
      </c>
      <c r="E46" s="1365">
        <f>SUMIF(Valores!C:C,B46,Valores!F:F)</f>
        <v>8</v>
      </c>
      <c r="F46" s="1366" t="str">
        <f>IFERROR(INDEX(Valores!G:G,MATCH(B46,Valores!C:C,0),1),"")</f>
        <v>U$S/Ha.</v>
      </c>
      <c r="G46" s="811">
        <f t="shared" si="9"/>
        <v>36000</v>
      </c>
      <c r="H46" s="798">
        <f>G46/$D$10</f>
        <v>1.4692977980939943</v>
      </c>
      <c r="I46" s="244"/>
      <c r="J46" s="244"/>
      <c r="K46" s="692"/>
      <c r="L46" s="692"/>
      <c r="M46" s="692"/>
      <c r="N46" s="692"/>
      <c r="O46" s="692"/>
      <c r="P46" s="692"/>
      <c r="Q46" s="692"/>
      <c r="R46" s="692"/>
      <c r="S46" s="692"/>
      <c r="T46" s="692"/>
      <c r="U46" s="244"/>
      <c r="V46" s="244"/>
    </row>
    <row r="47" spans="2:28" x14ac:dyDescent="0.25">
      <c r="B47" s="1654"/>
      <c r="C47" s="1521"/>
      <c r="D47" s="1364" t="str">
        <f>IFERROR(INDEX(Valores!E:E,MATCH(B47,Valores!C:C,0),1),"")</f>
        <v/>
      </c>
      <c r="E47" s="1365">
        <f>SUMIF(Valores!C:C,B47,Valores!F:F)</f>
        <v>0</v>
      </c>
      <c r="F47" s="1366" t="str">
        <f>IFERROR(INDEX(Valores!G:G,MATCH(B47,Valores!C:C,0),1),"")</f>
        <v/>
      </c>
      <c r="G47" s="811">
        <f t="shared" si="9"/>
        <v>0</v>
      </c>
      <c r="H47" s="798">
        <f>G47/$D$10</f>
        <v>0</v>
      </c>
      <c r="I47" s="244"/>
      <c r="J47" s="244"/>
      <c r="K47" s="692"/>
      <c r="L47" s="692"/>
      <c r="M47" s="692"/>
      <c r="N47" s="692"/>
      <c r="O47" s="692"/>
      <c r="P47" s="692"/>
      <c r="Q47" s="692"/>
      <c r="R47" s="692"/>
      <c r="S47" s="692"/>
      <c r="T47" s="692"/>
      <c r="U47" s="244"/>
      <c r="V47" s="244"/>
    </row>
    <row r="48" spans="2:28" ht="14.4" customHeight="1" thickBot="1" x14ac:dyDescent="0.3">
      <c r="B48" s="65" t="s">
        <v>105</v>
      </c>
      <c r="C48" s="173"/>
      <c r="D48" s="174"/>
      <c r="E48" s="176">
        <f>+G48/$G$6</f>
        <v>105</v>
      </c>
      <c r="F48" s="676" t="s">
        <v>95</v>
      </c>
      <c r="G48" s="812">
        <f>SUM(G44:G47)</f>
        <v>157500</v>
      </c>
      <c r="H48" s="802">
        <f>SUM(H44:H47)</f>
        <v>6.4281778666612253</v>
      </c>
      <c r="K48" s="691"/>
      <c r="L48" s="691"/>
      <c r="M48" s="691"/>
      <c r="N48" s="691"/>
      <c r="O48" s="691"/>
      <c r="P48" s="691"/>
      <c r="Q48" s="691"/>
      <c r="R48" s="691"/>
      <c r="S48" s="691"/>
      <c r="T48" s="691"/>
    </row>
    <row r="49" spans="2:22" x14ac:dyDescent="0.25">
      <c r="B49" s="181"/>
      <c r="C49" s="187"/>
      <c r="D49" s="182"/>
      <c r="E49" s="189"/>
      <c r="F49" s="677"/>
      <c r="G49" s="813"/>
      <c r="H49" s="803"/>
      <c r="K49" s="691"/>
      <c r="L49" s="691"/>
      <c r="M49" s="691"/>
      <c r="N49" s="691"/>
      <c r="O49" s="691"/>
      <c r="P49" s="691"/>
      <c r="Q49" s="691"/>
      <c r="R49" s="691"/>
      <c r="S49" s="691"/>
      <c r="T49" s="691"/>
    </row>
    <row r="50" spans="2:22" ht="13.95" customHeight="1" x14ac:dyDescent="0.25">
      <c r="B50" s="54" t="s">
        <v>106</v>
      </c>
      <c r="C50" s="1522">
        <v>80</v>
      </c>
      <c r="D50" s="695" t="s">
        <v>107</v>
      </c>
      <c r="E50" s="235">
        <v>3.15E-2</v>
      </c>
      <c r="F50" s="675" t="s">
        <v>72</v>
      </c>
      <c r="G50" s="842">
        <f>C50*(E50)*$D$10</f>
        <v>61743.78</v>
      </c>
      <c r="H50" s="843">
        <f>G50/$D$10</f>
        <v>2.52</v>
      </c>
      <c r="I50" s="238"/>
      <c r="J50" s="238"/>
      <c r="K50" s="451"/>
      <c r="L50" s="451"/>
      <c r="M50" s="451"/>
      <c r="N50" s="451"/>
      <c r="O50" s="451"/>
      <c r="P50" s="451"/>
      <c r="Q50" s="451"/>
      <c r="R50" s="451"/>
      <c r="S50" s="451"/>
      <c r="T50" s="451"/>
      <c r="U50" s="238"/>
      <c r="V50" s="238"/>
    </row>
    <row r="51" spans="2:22" ht="13.95" customHeight="1" thickBot="1" x14ac:dyDescent="0.3">
      <c r="B51" s="198"/>
      <c r="C51" s="199"/>
      <c r="D51" s="200"/>
      <c r="E51" s="202"/>
      <c r="F51" s="678"/>
      <c r="G51" s="742"/>
      <c r="H51" s="817"/>
      <c r="I51" s="238"/>
      <c r="J51" s="238"/>
      <c r="K51" s="451"/>
      <c r="L51" s="451"/>
      <c r="M51" s="451"/>
      <c r="N51" s="451"/>
      <c r="O51" s="451"/>
      <c r="P51" s="451"/>
      <c r="Q51" s="451"/>
      <c r="R51" s="451"/>
      <c r="S51" s="451"/>
      <c r="T51" s="451"/>
      <c r="U51" s="238"/>
      <c r="V51" s="238"/>
    </row>
    <row r="52" spans="2:22" ht="16.2" customHeight="1" thickBot="1" x14ac:dyDescent="0.3">
      <c r="B52" s="239" t="s">
        <v>108</v>
      </c>
      <c r="C52" s="240"/>
      <c r="D52" s="240"/>
      <c r="E52" s="857">
        <f>+G52/G6</f>
        <v>825.31752000000006</v>
      </c>
      <c r="F52" s="684"/>
      <c r="G52" s="771">
        <f>+G34+G39+G41+G48+G50</f>
        <v>1237976.28</v>
      </c>
      <c r="H52" s="858">
        <f>+H34+H39+H41+H48+H50</f>
        <v>50.526550619349834</v>
      </c>
      <c r="K52" s="691"/>
      <c r="L52" s="691"/>
      <c r="M52" s="691"/>
      <c r="N52" s="691"/>
      <c r="O52" s="691"/>
      <c r="P52" s="691"/>
      <c r="Q52" s="691"/>
      <c r="R52" s="691"/>
      <c r="S52" s="691"/>
      <c r="T52" s="691"/>
    </row>
    <row r="53" spans="2:22" x14ac:dyDescent="0.25">
      <c r="F53" s="689"/>
      <c r="H53" s="112"/>
      <c r="I53" s="112"/>
      <c r="J53" s="112"/>
      <c r="K53" s="450"/>
      <c r="L53" s="450"/>
      <c r="M53" s="450"/>
      <c r="N53" s="450"/>
      <c r="O53" s="450"/>
      <c r="P53" s="450"/>
      <c r="Q53" s="450"/>
      <c r="R53" s="450"/>
      <c r="S53" s="450"/>
      <c r="T53" s="450"/>
      <c r="U53" s="112"/>
      <c r="V53" s="112"/>
    </row>
    <row r="54" spans="2:22" ht="13.95" customHeight="1" thickBot="1" x14ac:dyDescent="0.3">
      <c r="F54" s="689"/>
      <c r="H54" s="112"/>
      <c r="I54" s="112"/>
      <c r="J54" s="112"/>
      <c r="K54" s="450"/>
      <c r="L54" s="450"/>
      <c r="M54" s="450"/>
      <c r="N54" s="450"/>
      <c r="O54" s="450"/>
      <c r="P54" s="450"/>
      <c r="Q54" s="450"/>
      <c r="R54" s="450"/>
      <c r="S54" s="450"/>
      <c r="T54" s="450"/>
      <c r="U54" s="112"/>
      <c r="V54" s="112"/>
    </row>
    <row r="55" spans="2:22" ht="16.2" customHeight="1" thickBot="1" x14ac:dyDescent="0.3">
      <c r="B55" s="1708" t="s">
        <v>168</v>
      </c>
      <c r="C55" s="1686"/>
      <c r="D55" s="1687"/>
      <c r="I55" s="112"/>
      <c r="J55" s="112"/>
      <c r="K55" s="112"/>
      <c r="L55" s="112"/>
      <c r="M55" s="112"/>
      <c r="N55" s="112"/>
      <c r="O55" s="112"/>
      <c r="P55" s="112"/>
      <c r="Q55" s="112"/>
      <c r="R55" s="112"/>
      <c r="S55" s="112"/>
      <c r="T55" s="112"/>
      <c r="U55" s="112"/>
      <c r="V55" s="112"/>
    </row>
    <row r="56" spans="2:22" ht="18" customHeight="1" thickTop="1" thickBot="1" x14ac:dyDescent="0.3">
      <c r="B56" s="808">
        <f>+H56*D10*C56/100</f>
        <v>225413.8</v>
      </c>
      <c r="C56" s="1523">
        <v>8</v>
      </c>
      <c r="D56" s="232" t="s">
        <v>72</v>
      </c>
      <c r="E56" s="246"/>
      <c r="F56" s="247"/>
      <c r="G56" s="248" t="s">
        <v>190</v>
      </c>
      <c r="H56" s="262">
        <f>+RESUMEN!I8</f>
        <v>115</v>
      </c>
      <c r="J56" s="244"/>
      <c r="K56" s="244"/>
      <c r="L56" s="244"/>
      <c r="M56" s="244"/>
      <c r="N56" s="244"/>
      <c r="O56" s="244"/>
      <c r="P56" s="244"/>
      <c r="Q56" s="244"/>
      <c r="R56" s="244"/>
      <c r="S56" s="244"/>
      <c r="T56" s="244"/>
      <c r="U56" s="244"/>
      <c r="V56" s="244"/>
    </row>
    <row r="57" spans="2:22" ht="15" customHeight="1" thickTop="1" thickBot="1" x14ac:dyDescent="0.3">
      <c r="G57" s="314" t="str">
        <f>+TRIGO!G53</f>
        <v>Equilibrio 26-27 :</v>
      </c>
      <c r="H57" s="315">
        <f>((G52+E64)/(D10-C59-C60))/(100-C56)*100</f>
        <v>94.997464546666308</v>
      </c>
      <c r="J57" s="244"/>
      <c r="K57" s="772"/>
      <c r="L57" s="244"/>
      <c r="M57" s="244"/>
      <c r="N57" s="244"/>
      <c r="O57" s="244"/>
      <c r="P57" s="244"/>
      <c r="Q57" s="244"/>
      <c r="R57" s="244"/>
      <c r="S57" s="244"/>
      <c r="T57" s="244"/>
      <c r="U57" s="244"/>
      <c r="V57" s="244"/>
    </row>
    <row r="58" spans="2:22" ht="16.2" customHeight="1" thickBot="1" x14ac:dyDescent="0.3">
      <c r="B58" s="1708" t="s">
        <v>170</v>
      </c>
      <c r="C58" s="1686"/>
      <c r="D58" s="1687"/>
      <c r="H58" s="261"/>
      <c r="K58" s="773"/>
    </row>
    <row r="59" spans="2:22" x14ac:dyDescent="0.25">
      <c r="B59" s="187" t="s">
        <v>113</v>
      </c>
      <c r="C59" s="1524">
        <v>500</v>
      </c>
      <c r="D59" s="232" t="s">
        <v>65</v>
      </c>
      <c r="H59" s="261"/>
      <c r="J59" s="244"/>
      <c r="K59" s="772"/>
      <c r="L59" s="244"/>
      <c r="M59" s="244"/>
      <c r="N59" s="244"/>
      <c r="O59" s="244"/>
      <c r="P59" s="244"/>
      <c r="Q59" s="244"/>
      <c r="R59" s="244"/>
      <c r="S59" s="244"/>
      <c r="T59" s="244"/>
      <c r="U59" s="244"/>
      <c r="V59" s="244"/>
    </row>
    <row r="60" spans="2:22" x14ac:dyDescent="0.25">
      <c r="B60" s="214" t="s">
        <v>115</v>
      </c>
      <c r="C60" s="1524">
        <v>500</v>
      </c>
      <c r="D60" s="232" t="s">
        <v>65</v>
      </c>
      <c r="H60" s="261"/>
      <c r="K60" s="772"/>
    </row>
    <row r="61" spans="2:22" x14ac:dyDescent="0.25">
      <c r="H61" s="261"/>
    </row>
    <row r="62" spans="2:22" ht="13.95" customHeight="1" thickBot="1" x14ac:dyDescent="0.3">
      <c r="H62" s="261"/>
      <c r="I62" s="261"/>
    </row>
    <row r="63" spans="2:22" ht="16.2" customHeight="1" thickBot="1" x14ac:dyDescent="0.3">
      <c r="B63" s="1700" t="s">
        <v>143</v>
      </c>
      <c r="C63" s="1686"/>
      <c r="D63" s="1686"/>
      <c r="E63" s="1687"/>
      <c r="G63" s="449"/>
      <c r="H63" s="261"/>
      <c r="I63" s="261"/>
      <c r="L63" s="244"/>
      <c r="M63" s="244"/>
      <c r="N63" s="244"/>
      <c r="O63" s="244"/>
      <c r="P63" s="244"/>
      <c r="Q63" s="244"/>
      <c r="R63" s="244"/>
      <c r="S63" s="244"/>
      <c r="T63" s="244"/>
      <c r="U63" s="244"/>
      <c r="V63" s="244"/>
    </row>
    <row r="64" spans="2:22" x14ac:dyDescent="0.25">
      <c r="C64" s="263">
        <f>+RESUMEN!D10</f>
        <v>17</v>
      </c>
      <c r="D64" s="456" t="s">
        <v>144</v>
      </c>
      <c r="E64" s="853">
        <f>+C64*Sj1º!D5</f>
        <v>816000</v>
      </c>
      <c r="F64" s="29" t="s">
        <v>117</v>
      </c>
      <c r="G64" s="859">
        <f>+E64/D10</f>
        <v>33.304083423463872</v>
      </c>
      <c r="H64" s="349" t="s">
        <v>77</v>
      </c>
      <c r="I64" s="261"/>
      <c r="M64" s="244"/>
      <c r="N64" s="244"/>
      <c r="O64" s="244"/>
      <c r="P64" s="244"/>
      <c r="Q64" s="244"/>
      <c r="R64" s="244"/>
      <c r="S64" s="244"/>
      <c r="T64" s="244"/>
      <c r="U64" s="244"/>
      <c r="V64" s="244"/>
    </row>
    <row r="65" spans="2:22" x14ac:dyDescent="0.25">
      <c r="D65" s="80" t="s">
        <v>118</v>
      </c>
      <c r="E65" s="763">
        <f>+E64/G6</f>
        <v>544</v>
      </c>
      <c r="H65" s="81"/>
      <c r="I65" s="261"/>
      <c r="J65" s="261"/>
      <c r="L65" s="244"/>
      <c r="M65" s="244"/>
      <c r="N65" s="244"/>
      <c r="O65" s="244"/>
      <c r="P65" s="244"/>
      <c r="Q65" s="244"/>
      <c r="R65" s="244"/>
      <c r="S65" s="244"/>
      <c r="T65" s="244"/>
      <c r="U65" s="244"/>
      <c r="V65" s="244"/>
    </row>
    <row r="66" spans="2:22" ht="15.6" customHeight="1" x14ac:dyDescent="0.25">
      <c r="G66" s="31"/>
      <c r="H66" s="261"/>
      <c r="I66" s="261"/>
      <c r="J66" s="31"/>
      <c r="L66" s="261"/>
      <c r="M66" s="245"/>
      <c r="N66" s="245"/>
      <c r="O66" s="245"/>
      <c r="P66" s="245"/>
      <c r="Q66" s="245"/>
      <c r="R66" s="245"/>
      <c r="S66" s="245"/>
      <c r="T66" s="245"/>
      <c r="U66" s="245"/>
      <c r="V66" s="245"/>
    </row>
    <row r="67" spans="2:22" ht="14.4" customHeight="1" thickBot="1" x14ac:dyDescent="0.3">
      <c r="G67" s="713" t="s">
        <v>171</v>
      </c>
      <c r="H67" s="261"/>
      <c r="I67" s="261"/>
      <c r="L67" s="261"/>
      <c r="M67" s="245"/>
      <c r="N67" s="245"/>
      <c r="O67" s="245"/>
      <c r="P67" s="245"/>
      <c r="Q67" s="245"/>
      <c r="R67" s="245"/>
      <c r="S67" s="245"/>
      <c r="T67" s="245"/>
      <c r="U67" s="245"/>
      <c r="V67" s="245"/>
    </row>
    <row r="68" spans="2:22" ht="18.600000000000001" customHeight="1" thickTop="1" thickBot="1" x14ac:dyDescent="0.3">
      <c r="B68" s="1690" t="s">
        <v>172</v>
      </c>
      <c r="C68" s="1691"/>
      <c r="D68" s="253">
        <f>+E69/(E65+E52)</f>
        <v>0.20607950740307487</v>
      </c>
      <c r="E68" s="860">
        <f>$H$56*D10*(100-$C$56)/100-G52-E64-($C$59+$C$60)*$H$56</f>
        <v>423282.42000000016</v>
      </c>
      <c r="F68" s="32" t="s">
        <v>117</v>
      </c>
      <c r="G68" s="830">
        <f>+E68/D10</f>
        <v>17.275775768830485</v>
      </c>
      <c r="H68" s="33" t="s">
        <v>77</v>
      </c>
      <c r="I68" s="261"/>
      <c r="M68" s="245"/>
      <c r="N68" s="245"/>
      <c r="O68" s="245"/>
      <c r="P68" s="245"/>
      <c r="Q68" s="245"/>
      <c r="R68" s="245"/>
      <c r="S68" s="245"/>
      <c r="T68" s="245"/>
      <c r="U68" s="245"/>
      <c r="V68" s="245"/>
    </row>
    <row r="69" spans="2:22" ht="16.2" customHeight="1" thickTop="1" x14ac:dyDescent="0.25">
      <c r="D69" s="37" t="s">
        <v>118</v>
      </c>
      <c r="E69" s="746">
        <f>+E68/G6</f>
        <v>282.18828000000013</v>
      </c>
      <c r="H69" s="35"/>
      <c r="I69" s="261"/>
      <c r="J69" s="82"/>
      <c r="L69" s="261"/>
    </row>
    <row r="70" spans="2:22" ht="14.4" customHeight="1" x14ac:dyDescent="0.25">
      <c r="H70" s="261"/>
      <c r="I70" s="261"/>
      <c r="J70" s="711"/>
      <c r="K70" s="711"/>
      <c r="L70" s="244"/>
      <c r="M70" s="244"/>
      <c r="N70" s="244"/>
      <c r="O70" s="244"/>
      <c r="P70" s="244"/>
      <c r="Q70" s="244"/>
      <c r="R70" s="244"/>
      <c r="S70" s="244"/>
      <c r="T70" s="244"/>
      <c r="U70" s="244"/>
      <c r="V70" s="244"/>
    </row>
    <row r="72" spans="2:22" x14ac:dyDescent="0.25">
      <c r="H72" s="261"/>
      <c r="I72" s="244"/>
      <c r="J72" s="244"/>
      <c r="K72" s="244"/>
      <c r="L72" s="244"/>
      <c r="M72" s="244"/>
      <c r="N72" s="244"/>
      <c r="O72" s="244"/>
      <c r="P72" s="244"/>
      <c r="Q72" s="244"/>
      <c r="R72" s="244"/>
      <c r="S72" s="244"/>
      <c r="T72" s="244"/>
      <c r="U72" s="244"/>
      <c r="V72" s="244"/>
    </row>
    <row r="74" spans="2:22" x14ac:dyDescent="0.25">
      <c r="H74" s="261"/>
      <c r="I74" s="245"/>
      <c r="J74" s="245"/>
      <c r="K74" s="245"/>
      <c r="L74" s="245"/>
      <c r="M74" s="245"/>
      <c r="N74" s="245"/>
      <c r="O74" s="245"/>
      <c r="P74" s="245"/>
      <c r="Q74" s="245"/>
      <c r="R74" s="245"/>
      <c r="S74" s="245"/>
      <c r="T74" s="245"/>
      <c r="U74" s="245"/>
      <c r="V74" s="245"/>
    </row>
    <row r="76" spans="2:22" x14ac:dyDescent="0.25">
      <c r="H76" s="261"/>
      <c r="I76" s="244"/>
      <c r="J76" s="244"/>
      <c r="K76" s="244"/>
      <c r="L76" s="244"/>
      <c r="M76" s="244"/>
      <c r="N76" s="244"/>
      <c r="O76" s="244"/>
      <c r="P76" s="244"/>
      <c r="Q76" s="244"/>
      <c r="R76" s="244"/>
      <c r="S76" s="244"/>
      <c r="T76" s="244"/>
      <c r="U76" s="244"/>
      <c r="V76" s="244"/>
    </row>
    <row r="159" s="261" customFormat="1" x14ac:dyDescent="0.25"/>
  </sheetData>
  <sheetProtection algorithmName="SHA-512" hashValue="ZjIjEXBwgKT5gRPojBcvxYeLww2yvUNDFCcyebb3vYeWgY7MqObSC7KS+5cnJKDyWn2NLoKfmnxZLFIlkZYJiA==" saltValue="tg9m4+KOXtbxvJy22/F+MQ==" spinCount="100000" sheet="1" objects="1" scenarios="1"/>
  <mergeCells count="7">
    <mergeCell ref="B68:C68"/>
    <mergeCell ref="B58:D58"/>
    <mergeCell ref="B63:E63"/>
    <mergeCell ref="B1:G2"/>
    <mergeCell ref="B7:D7"/>
    <mergeCell ref="C14:D14"/>
    <mergeCell ref="B55:D55"/>
  </mergeCells>
  <printOptions horizontalCentered="1" verticalCentered="1"/>
  <pageMargins left="0.70866141732283472" right="0.70866141732283472" top="0.74803149606299213" bottom="0.74803149606299213" header="0.31496062992125978" footer="0.31496062992125978"/>
  <pageSetup paperSize="9" scale="90" orientation="portrait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Seleccionar artículo correcto" promptTitle="Seleccionar artículo" xr:uid="{37E0E321-10B5-43BC-A4F0-689612DBCDC8}">
          <x14:formula1>
            <xm:f>Valores!$C$6:$C$123</xm:f>
          </x14:formula1>
          <xm:sqref>B44:B47 B40:B42 B15:B33 B35:B38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Hoja9">
    <pageSetUpPr fitToPage="1"/>
  </sheetPr>
  <dimension ref="A1:P89"/>
  <sheetViews>
    <sheetView showGridLines="0" zoomScaleNormal="100" workbookViewId="0">
      <pane ySplit="2" topLeftCell="A13" activePane="bottomLeft" state="frozen"/>
      <selection activeCell="K31" sqref="K31"/>
      <selection pane="bottomLeft" activeCell="C76" sqref="C76"/>
    </sheetView>
  </sheetViews>
  <sheetFormatPr baseColWidth="10" defaultColWidth="11.44140625" defaultRowHeight="13.2" outlineLevelRow="1" x14ac:dyDescent="0.25"/>
  <cols>
    <col min="1" max="1" width="2.44140625" style="261" customWidth="1"/>
    <col min="2" max="2" width="40.6640625" style="261" customWidth="1"/>
    <col min="3" max="3" width="7.88671875" style="261" bestFit="1" customWidth="1"/>
    <col min="4" max="4" width="9.6640625" style="261" customWidth="1"/>
    <col min="5" max="5" width="11" style="261" customWidth="1"/>
    <col min="6" max="6" width="8.6640625" style="261" customWidth="1"/>
    <col min="7" max="7" width="12.44140625" style="261" customWidth="1"/>
    <col min="8" max="8" width="8.6640625" style="261" customWidth="1"/>
    <col min="9" max="9" width="13.109375" style="690" bestFit="1" customWidth="1"/>
    <col min="10" max="12" width="11.44140625" style="261" customWidth="1"/>
    <col min="13" max="16384" width="11.44140625" style="261"/>
  </cols>
  <sheetData>
    <row r="1" spans="2:16" ht="12.75" customHeight="1" x14ac:dyDescent="0.25">
      <c r="B1" s="1744" t="s">
        <v>199</v>
      </c>
      <c r="C1" s="1745"/>
      <c r="D1" s="1745"/>
      <c r="E1" s="1745"/>
      <c r="F1" s="1745"/>
      <c r="G1" s="1745"/>
      <c r="H1" s="1746"/>
      <c r="I1" s="450"/>
      <c r="J1" s="691"/>
      <c r="K1" s="691"/>
      <c r="L1" s="691"/>
      <c r="M1" s="691"/>
      <c r="N1" s="691"/>
      <c r="O1" s="691"/>
      <c r="P1" s="691"/>
    </row>
    <row r="2" spans="2:16" ht="12.75" customHeight="1" thickBot="1" x14ac:dyDescent="0.3">
      <c r="B2" s="1747"/>
      <c r="C2" s="1748"/>
      <c r="D2" s="1748"/>
      <c r="E2" s="1748"/>
      <c r="F2" s="1748"/>
      <c r="G2" s="1748"/>
      <c r="H2" s="1749"/>
      <c r="I2" s="691"/>
      <c r="J2" s="691"/>
      <c r="K2" s="691"/>
      <c r="L2" s="691"/>
      <c r="M2" s="691"/>
      <c r="N2" s="691"/>
      <c r="O2" s="691"/>
      <c r="P2" s="691"/>
    </row>
    <row r="3" spans="2:16" ht="12.75" customHeight="1" x14ac:dyDescent="0.25">
      <c r="B3" s="113"/>
      <c r="C3" s="113"/>
      <c r="D3" s="113"/>
      <c r="E3" s="113"/>
      <c r="F3" s="113"/>
      <c r="G3" s="113"/>
      <c r="H3" s="113"/>
      <c r="I3" s="691"/>
      <c r="J3" s="691"/>
      <c r="K3" s="691"/>
      <c r="L3" s="691"/>
      <c r="M3" s="691"/>
      <c r="N3" s="691"/>
      <c r="O3" s="691"/>
      <c r="P3" s="691"/>
    </row>
    <row r="4" spans="2:16" ht="12.75" customHeight="1" x14ac:dyDescent="0.25">
      <c r="B4" s="114"/>
      <c r="C4" s="114"/>
      <c r="D4" s="114"/>
      <c r="E4" s="114"/>
      <c r="F4" s="114"/>
      <c r="G4" s="114"/>
      <c r="I4" s="691"/>
      <c r="J4" s="691"/>
      <c r="K4" s="691"/>
      <c r="L4" s="691"/>
      <c r="M4" s="691"/>
      <c r="N4" s="691"/>
      <c r="O4" s="691"/>
      <c r="P4" s="691"/>
    </row>
    <row r="5" spans="2:16" ht="13.95" customHeight="1" x14ac:dyDescent="0.25">
      <c r="B5" s="76" t="s">
        <v>64</v>
      </c>
      <c r="C5" s="77"/>
      <c r="D5" s="831">
        <f>+RESUMEN!F4</f>
        <v>48000</v>
      </c>
      <c r="E5" s="78" t="s">
        <v>65</v>
      </c>
      <c r="G5" s="300" t="s">
        <v>186</v>
      </c>
      <c r="I5" s="691"/>
      <c r="J5" s="691"/>
      <c r="K5" s="691"/>
      <c r="L5" s="691"/>
      <c r="M5" s="691"/>
      <c r="N5" s="691"/>
      <c r="O5" s="691"/>
      <c r="P5" s="691"/>
    </row>
    <row r="6" spans="2:16" ht="13.95" customHeight="1" thickBot="1" x14ac:dyDescent="0.3">
      <c r="B6" s="712"/>
      <c r="C6" s="712"/>
      <c r="D6" s="712"/>
      <c r="E6" s="712"/>
      <c r="G6" s="457">
        <f>+RESUMEN!Q15</f>
        <v>1500</v>
      </c>
      <c r="H6" s="6" t="s">
        <v>187</v>
      </c>
      <c r="I6" s="691"/>
      <c r="J6" s="691"/>
      <c r="K6" s="691"/>
      <c r="L6" s="691"/>
      <c r="M6" s="691"/>
      <c r="N6" s="691"/>
      <c r="O6" s="691"/>
      <c r="P6" s="691"/>
    </row>
    <row r="7" spans="2:16" ht="17.399999999999999" customHeight="1" thickBot="1" x14ac:dyDescent="0.35">
      <c r="B7" s="1712" t="s">
        <v>68</v>
      </c>
      <c r="C7" s="1686"/>
      <c r="D7" s="1687"/>
      <c r="E7" s="712"/>
      <c r="I7" s="691"/>
      <c r="J7" s="691"/>
      <c r="K7" s="691"/>
      <c r="L7" s="691"/>
      <c r="M7" s="691"/>
      <c r="N7" s="691"/>
      <c r="O7" s="691"/>
      <c r="P7" s="691"/>
    </row>
    <row r="8" spans="2:16" x14ac:dyDescent="0.25">
      <c r="B8" s="21" t="s">
        <v>70</v>
      </c>
      <c r="C8" s="75"/>
      <c r="D8" s="75">
        <f>+RESUMEN!Q14</f>
        <v>3400</v>
      </c>
      <c r="E8" s="715" t="s">
        <v>65</v>
      </c>
      <c r="I8" s="691"/>
      <c r="J8" s="691"/>
      <c r="K8" s="691"/>
      <c r="L8" s="691"/>
      <c r="M8" s="691"/>
      <c r="N8" s="691"/>
      <c r="O8" s="691"/>
      <c r="P8" s="691"/>
    </row>
    <row r="9" spans="2:16" x14ac:dyDescent="0.25">
      <c r="B9" s="21" t="s">
        <v>71</v>
      </c>
      <c r="C9" s="116"/>
      <c r="D9" s="1657">
        <v>2.1000000000000001E-2</v>
      </c>
      <c r="E9" s="266" t="s">
        <v>72</v>
      </c>
      <c r="I9" s="691"/>
      <c r="J9" s="691"/>
      <c r="K9" s="691"/>
      <c r="L9" s="691"/>
      <c r="M9" s="691"/>
      <c r="N9" s="691"/>
      <c r="O9" s="691"/>
      <c r="P9" s="691"/>
    </row>
    <row r="10" spans="2:16" x14ac:dyDescent="0.25">
      <c r="B10" s="11" t="s">
        <v>73</v>
      </c>
      <c r="C10" s="12"/>
      <c r="D10" s="12">
        <f>+D5*(1-D9)-D8</f>
        <v>43592</v>
      </c>
      <c r="E10" s="715" t="s">
        <v>65</v>
      </c>
      <c r="I10" s="691"/>
      <c r="J10" s="691"/>
      <c r="K10" s="691"/>
      <c r="L10" s="691"/>
      <c r="M10" s="691"/>
      <c r="N10" s="691"/>
      <c r="O10" s="691"/>
      <c r="P10" s="691"/>
    </row>
    <row r="11" spans="2:16" x14ac:dyDescent="0.25">
      <c r="E11" s="10"/>
      <c r="I11" s="691"/>
      <c r="J11" s="691"/>
      <c r="K11" s="691"/>
      <c r="L11" s="691"/>
      <c r="M11" s="691"/>
      <c r="N11" s="691"/>
      <c r="O11" s="691"/>
      <c r="P11" s="691"/>
    </row>
    <row r="12" spans="2:16" ht="13.95" customHeight="1" thickBot="1" x14ac:dyDescent="0.3">
      <c r="E12" s="10"/>
      <c r="I12" s="691"/>
      <c r="J12" s="691"/>
      <c r="K12" s="691"/>
      <c r="L12" s="691"/>
      <c r="M12" s="691"/>
      <c r="N12" s="691"/>
      <c r="O12" s="691"/>
      <c r="P12" s="691"/>
    </row>
    <row r="13" spans="2:16" ht="17.399999999999999" customHeight="1" thickBot="1" x14ac:dyDescent="0.35">
      <c r="B13" s="1189" t="s">
        <v>74</v>
      </c>
      <c r="C13" s="1190"/>
      <c r="D13" s="1191"/>
      <c r="E13" s="44" t="s">
        <v>75</v>
      </c>
      <c r="F13" s="14"/>
      <c r="G13" s="301" t="s">
        <v>76</v>
      </c>
      <c r="H13" s="40" t="s">
        <v>77</v>
      </c>
      <c r="I13" s="691"/>
      <c r="J13" s="691"/>
      <c r="K13" s="691"/>
      <c r="L13" s="691"/>
      <c r="M13" s="691"/>
      <c r="N13" s="691"/>
      <c r="O13" s="691"/>
      <c r="P13" s="691"/>
    </row>
    <row r="14" spans="2:16" ht="13.95" customHeight="1" thickBot="1" x14ac:dyDescent="0.3">
      <c r="B14" s="1192" t="s">
        <v>78</v>
      </c>
      <c r="C14" s="1750" t="s">
        <v>79</v>
      </c>
      <c r="D14" s="1743"/>
      <c r="E14" s="46" t="s">
        <v>188</v>
      </c>
      <c r="F14" s="47" t="s">
        <v>82</v>
      </c>
      <c r="G14" s="50" t="s">
        <v>188</v>
      </c>
      <c r="H14" s="302" t="s">
        <v>188</v>
      </c>
      <c r="I14" s="691"/>
      <c r="J14" s="691"/>
      <c r="K14" s="691"/>
      <c r="L14" s="691"/>
      <c r="M14" s="691"/>
      <c r="N14" s="691"/>
      <c r="O14" s="691"/>
      <c r="P14" s="691"/>
    </row>
    <row r="15" spans="2:16" x14ac:dyDescent="0.25">
      <c r="B15" s="1653" t="s">
        <v>1095</v>
      </c>
      <c r="C15" s="1520">
        <v>1</v>
      </c>
      <c r="D15" s="1360" t="str">
        <f>IFERROR(INDEX(Valores!E:E,MATCH(B15,Valores!C:C,0),1),"")</f>
        <v>Lts/Ha.</v>
      </c>
      <c r="E15" s="1361">
        <f>SUMIF(Valores!C:C,B15,Valores!F:F)</f>
        <v>3.5</v>
      </c>
      <c r="F15" s="1362" t="str">
        <f>IFERROR(INDEX(Valores!G:G,MATCH(B15,Valores!C:C,0),1),"")</f>
        <v>U$S/Lts.</v>
      </c>
      <c r="G15" s="832">
        <f t="shared" ref="G15" si="0">+E15*C15*$G$6</f>
        <v>5250</v>
      </c>
      <c r="H15" s="1397">
        <f t="shared" ref="H15" si="1">G15/$D$10</f>
        <v>0.12043494219122775</v>
      </c>
      <c r="I15" s="691"/>
      <c r="J15" s="691"/>
      <c r="K15" s="691"/>
      <c r="L15" s="691"/>
      <c r="M15" s="691"/>
      <c r="N15" s="691"/>
      <c r="O15" s="691"/>
      <c r="P15" s="691"/>
    </row>
    <row r="16" spans="2:16" x14ac:dyDescent="0.25">
      <c r="B16" s="1654" t="s">
        <v>1098</v>
      </c>
      <c r="C16" s="1521">
        <v>0.2</v>
      </c>
      <c r="D16" s="1364" t="str">
        <f>IFERROR(INDEX(Valores!E:E,MATCH(B16,Valores!C:C,0),1),"")</f>
        <v>Lts/Ha.</v>
      </c>
      <c r="E16" s="1365">
        <f>SUMIF(Valores!C:C,B16,Valores!F:F)</f>
        <v>18.5</v>
      </c>
      <c r="F16" s="1366" t="str">
        <f>IFERROR(INDEX(Valores!G:G,MATCH(B16,Valores!C:C,0),1),"")</f>
        <v>U$S/Lts.</v>
      </c>
      <c r="G16" s="836">
        <f>+E16*C16*$G$6</f>
        <v>5550</v>
      </c>
      <c r="H16" s="1395">
        <f>G16/$D$10</f>
        <v>0.12731693888786932</v>
      </c>
      <c r="I16" s="691"/>
      <c r="J16" s="691"/>
      <c r="K16" s="691"/>
      <c r="L16" s="691"/>
      <c r="M16" s="691"/>
      <c r="N16" s="691"/>
      <c r="O16" s="691"/>
      <c r="P16" s="691"/>
    </row>
    <row r="17" spans="2:16" x14ac:dyDescent="0.25">
      <c r="B17" s="1654" t="s">
        <v>1100</v>
      </c>
      <c r="C17" s="1521">
        <v>0.2</v>
      </c>
      <c r="D17" s="1364" t="str">
        <f>IFERROR(INDEX(Valores!E:E,MATCH(B17,Valores!C:C,0),1),"")</f>
        <v>Lts/Ha.</v>
      </c>
      <c r="E17" s="1365">
        <f>SUMIF(Valores!C:C,B17,Valores!F:F)</f>
        <v>42</v>
      </c>
      <c r="F17" s="1366" t="str">
        <f>IFERROR(INDEX(Valores!G:G,MATCH(B17,Valores!C:C,0),1),"")</f>
        <v>U$S/Lts.</v>
      </c>
      <c r="G17" s="836">
        <f>+E17*C17*$G$6</f>
        <v>12600</v>
      </c>
      <c r="H17" s="1395">
        <f>G17/$D$10</f>
        <v>0.2890438612589466</v>
      </c>
      <c r="I17" s="691"/>
      <c r="J17" s="691"/>
      <c r="K17" s="691"/>
      <c r="L17" s="691"/>
      <c r="M17" s="691"/>
      <c r="N17" s="691"/>
      <c r="O17" s="691"/>
      <c r="P17" s="691"/>
    </row>
    <row r="18" spans="2:16" x14ac:dyDescent="0.25">
      <c r="B18" s="1654"/>
      <c r="C18" s="1521"/>
      <c r="D18" s="1364" t="str">
        <f>IFERROR(INDEX(Valores!E:E,MATCH(B18,Valores!C:C,0),1),"")</f>
        <v/>
      </c>
      <c r="E18" s="1365">
        <f>SUMIF(Valores!C:C,B18,Valores!F:F)</f>
        <v>0</v>
      </c>
      <c r="F18" s="1366" t="str">
        <f>IFERROR(INDEX(Valores!G:G,MATCH(B18,Valores!C:C,0),1),"")</f>
        <v/>
      </c>
      <c r="G18" s="836">
        <f>+E18*C18*$G$6</f>
        <v>0</v>
      </c>
      <c r="H18" s="1395">
        <f>G18/$D$10</f>
        <v>0</v>
      </c>
      <c r="I18" s="691"/>
      <c r="J18" s="691"/>
      <c r="K18" s="691"/>
      <c r="L18" s="691"/>
      <c r="M18" s="691"/>
      <c r="N18" s="691"/>
      <c r="O18" s="691"/>
      <c r="P18" s="691"/>
    </row>
    <row r="19" spans="2:16" x14ac:dyDescent="0.25">
      <c r="B19" s="1654" t="s">
        <v>1205</v>
      </c>
      <c r="C19" s="1521">
        <v>1.7</v>
      </c>
      <c r="D19" s="1364" t="str">
        <f>IFERROR(INDEX(Valores!E:E,MATCH(B19,Valores!C:C,0),1),"")</f>
        <v>Kg/Ha.</v>
      </c>
      <c r="E19" s="1365">
        <f>SUMIF(Valores!C:C,B19,Valores!F:F)</f>
        <v>6.1</v>
      </c>
      <c r="F19" s="1366" t="str">
        <f>IFERROR(INDEX(Valores!G:G,MATCH(B19,Valores!C:C,0),1),"")</f>
        <v>U$S/Kg.</v>
      </c>
      <c r="G19" s="836">
        <f>+E19*C19*$G$6</f>
        <v>15554.999999999998</v>
      </c>
      <c r="H19" s="1395">
        <f>G19/$D$10</f>
        <v>0.35683152872086615</v>
      </c>
      <c r="I19" s="691"/>
      <c r="J19" s="691"/>
      <c r="K19" s="691"/>
      <c r="L19" s="691"/>
      <c r="M19" s="691"/>
      <c r="N19" s="691"/>
      <c r="O19" s="691"/>
      <c r="P19" s="691"/>
    </row>
    <row r="20" spans="2:16" x14ac:dyDescent="0.25">
      <c r="B20" s="1654" t="s">
        <v>1198</v>
      </c>
      <c r="C20" s="1521">
        <v>4</v>
      </c>
      <c r="D20" s="1364" t="str">
        <f>IFERROR(INDEX(Valores!E:E,MATCH(B20,Valores!C:C,0),1),"")</f>
        <v>Lts/Ha.</v>
      </c>
      <c r="E20" s="1365">
        <f>SUMIF(Valores!C:C,B20,Valores!F:F)</f>
        <v>4.3</v>
      </c>
      <c r="F20" s="1366" t="str">
        <f>IFERROR(INDEX(Valores!G:G,MATCH(B20,Valores!C:C,0),1),"")</f>
        <v>U$S/Lts.</v>
      </c>
      <c r="G20" s="836">
        <f t="shared" ref="G20:G44" si="2">+E20*C20*$G$6</f>
        <v>25800</v>
      </c>
      <c r="H20" s="1395">
        <f t="shared" ref="H20:H44" si="3">G20/$D$10</f>
        <v>0.59185171591117636</v>
      </c>
      <c r="I20" s="691"/>
      <c r="J20" s="691"/>
      <c r="K20" s="691"/>
      <c r="L20" s="691"/>
      <c r="M20" s="691"/>
      <c r="N20" s="691"/>
      <c r="O20" s="691"/>
      <c r="P20" s="691"/>
    </row>
    <row r="21" spans="2:16" x14ac:dyDescent="0.25">
      <c r="B21" s="1654" t="s">
        <v>1200</v>
      </c>
      <c r="C21" s="1521">
        <v>0.04</v>
      </c>
      <c r="D21" s="1364" t="str">
        <f>IFERROR(INDEX(Valores!E:E,MATCH(B21,Valores!C:C,0),1),"")</f>
        <v>Kg/Ha.</v>
      </c>
      <c r="E21" s="1365">
        <f>SUMIF(Valores!C:C,B21,Valores!F:F)</f>
        <v>305</v>
      </c>
      <c r="F21" s="1366" t="str">
        <f>IFERROR(INDEX(Valores!G:G,MATCH(B21,Valores!C:C,0),1),"")</f>
        <v>U$S/Kg.</v>
      </c>
      <c r="G21" s="836">
        <f t="shared" si="2"/>
        <v>18300</v>
      </c>
      <c r="H21" s="1395">
        <f t="shared" si="3"/>
        <v>0.41980179849513671</v>
      </c>
      <c r="I21" s="838"/>
      <c r="J21" s="691"/>
      <c r="K21" s="691"/>
      <c r="L21" s="691"/>
      <c r="M21" s="691"/>
      <c r="N21" s="691"/>
      <c r="O21" s="691"/>
      <c r="P21" s="691"/>
    </row>
    <row r="22" spans="2:16" x14ac:dyDescent="0.25">
      <c r="B22" s="1654" t="s">
        <v>1197</v>
      </c>
      <c r="C22" s="1521">
        <v>3</v>
      </c>
      <c r="D22" s="1364" t="str">
        <f>IFERROR(INDEX(Valores!E:E,MATCH(B22,Valores!C:C,0),1),"")</f>
        <v>Lts/Ha.</v>
      </c>
      <c r="E22" s="1365">
        <f>SUMIF(Valores!C:C,B22,Valores!F:F)</f>
        <v>4.6500000000000004</v>
      </c>
      <c r="F22" s="1366" t="str">
        <f>IFERROR(INDEX(Valores!G:G,MATCH(B22,Valores!C:C,0),1),"")</f>
        <v>U$S/Lts.</v>
      </c>
      <c r="G22" s="836">
        <f t="shared" si="2"/>
        <v>20925</v>
      </c>
      <c r="H22" s="1395">
        <f t="shared" si="3"/>
        <v>0.48001926959075059</v>
      </c>
      <c r="I22" s="691"/>
      <c r="J22" s="691"/>
      <c r="K22" s="691"/>
      <c r="L22" s="691"/>
      <c r="M22" s="691"/>
      <c r="N22" s="691"/>
      <c r="O22" s="691"/>
      <c r="P22" s="691"/>
    </row>
    <row r="23" spans="2:16" x14ac:dyDescent="0.25">
      <c r="B23" s="1654"/>
      <c r="C23" s="1521"/>
      <c r="D23" s="1364" t="str">
        <f>IFERROR(INDEX(Valores!E:E,MATCH(B23,Valores!C:C,0),1),"")</f>
        <v/>
      </c>
      <c r="E23" s="1365">
        <f>SUMIF(Valores!C:C,B23,Valores!F:F)</f>
        <v>0</v>
      </c>
      <c r="F23" s="1366" t="str">
        <f>IFERROR(INDEX(Valores!G:G,MATCH(B23,Valores!C:C,0),1),"")</f>
        <v/>
      </c>
      <c r="G23" s="836">
        <f t="shared" ref="G23" si="4">+E23*C23*$G$6</f>
        <v>0</v>
      </c>
      <c r="H23" s="1395">
        <f t="shared" ref="H23" si="5">G23/$D$10</f>
        <v>0</v>
      </c>
      <c r="I23" s="691"/>
      <c r="J23" s="691"/>
      <c r="K23" s="691"/>
      <c r="L23" s="691"/>
      <c r="M23" s="691"/>
      <c r="N23" s="691"/>
      <c r="O23" s="691"/>
      <c r="P23" s="691"/>
    </row>
    <row r="24" spans="2:16" x14ac:dyDescent="0.25">
      <c r="B24" s="1654" t="s">
        <v>1206</v>
      </c>
      <c r="C24" s="1521">
        <v>0.04</v>
      </c>
      <c r="D24" s="1364" t="str">
        <f>IFERROR(INDEX(Valores!E:E,MATCH(B24,Valores!C:C,0),1),"")</f>
        <v>Kg/Ha.</v>
      </c>
      <c r="E24" s="1365">
        <f>SUMIF(Valores!C:C,B24,Valores!F:F)</f>
        <v>258</v>
      </c>
      <c r="F24" s="1366" t="str">
        <f>IFERROR(INDEX(Valores!G:G,MATCH(B24,Valores!C:C,0),1),"")</f>
        <v>U$S/Kg.</v>
      </c>
      <c r="G24" s="836">
        <f>+E24*C24*$G$6</f>
        <v>15480</v>
      </c>
      <c r="H24" s="1395">
        <f t="shared" si="3"/>
        <v>0.35511102954670581</v>
      </c>
      <c r="I24" s="691"/>
      <c r="J24" s="691"/>
      <c r="K24" s="691"/>
      <c r="L24" s="691"/>
      <c r="M24" s="691"/>
      <c r="N24" s="691"/>
      <c r="O24" s="691"/>
      <c r="P24" s="691"/>
    </row>
    <row r="25" spans="2:16" x14ac:dyDescent="0.25">
      <c r="B25" s="1654" t="s">
        <v>1207</v>
      </c>
      <c r="C25" s="1521">
        <v>0.5</v>
      </c>
      <c r="D25" s="1364" t="str">
        <f>IFERROR(INDEX(Valores!E:E,MATCH(B25,Valores!C:C,0),1),"")</f>
        <v>Lts/Ha.</v>
      </c>
      <c r="E25" s="1365">
        <f>SUMIF(Valores!C:C,B25,Valores!F:F)</f>
        <v>74.2</v>
      </c>
      <c r="F25" s="1366" t="str">
        <f>IFERROR(INDEX(Valores!G:G,MATCH(B25,Valores!C:C,0),1),"")</f>
        <v>U$S/Lts.</v>
      </c>
      <c r="G25" s="836">
        <f>+E25*C25*$G$6</f>
        <v>55650</v>
      </c>
      <c r="H25" s="1395">
        <f t="shared" si="3"/>
        <v>1.276610387227014</v>
      </c>
      <c r="I25" s="691"/>
      <c r="J25" s="691"/>
      <c r="K25" s="691"/>
      <c r="L25" s="691"/>
      <c r="M25" s="691"/>
      <c r="N25" s="691"/>
      <c r="O25" s="691"/>
      <c r="P25" s="691"/>
    </row>
    <row r="26" spans="2:16" x14ac:dyDescent="0.25">
      <c r="B26" s="1654"/>
      <c r="C26" s="1521"/>
      <c r="D26" s="1364" t="str">
        <f>IFERROR(INDEX(Valores!E:E,MATCH(B26,Valores!C:C,0),1),"")</f>
        <v/>
      </c>
      <c r="E26" s="1365">
        <f>SUMIF(Valores!C:C,B26,Valores!F:F)</f>
        <v>0</v>
      </c>
      <c r="F26" s="1366" t="str">
        <f>IFERROR(INDEX(Valores!G:G,MATCH(B26,Valores!C:C,0),1),"")</f>
        <v/>
      </c>
      <c r="G26" s="836">
        <f>+E26*C26*$G$6</f>
        <v>0</v>
      </c>
      <c r="H26" s="1395">
        <f t="shared" ref="H26" si="6">G26/$D$10</f>
        <v>0</v>
      </c>
      <c r="I26" s="691"/>
      <c r="J26" s="691"/>
      <c r="K26" s="691"/>
      <c r="L26" s="691"/>
      <c r="M26" s="691"/>
      <c r="N26" s="691"/>
      <c r="O26" s="691"/>
      <c r="P26" s="691"/>
    </row>
    <row r="27" spans="2:16" x14ac:dyDescent="0.25">
      <c r="B27" s="1654" t="s">
        <v>1203</v>
      </c>
      <c r="C27" s="1521">
        <v>3</v>
      </c>
      <c r="D27" s="1364" t="str">
        <f>IFERROR(INDEX(Valores!E:E,MATCH(B27,Valores!C:C,0),1),"")</f>
        <v>Lts/Ha.</v>
      </c>
      <c r="E27" s="1365">
        <f>SUMIF(Valores!C:C,B27,Valores!F:F)</f>
        <v>7.8</v>
      </c>
      <c r="F27" s="1366" t="str">
        <f>IFERROR(INDEX(Valores!G:G,MATCH(B27,Valores!C:C,0),1),"")</f>
        <v>U$S/Lts.</v>
      </c>
      <c r="G27" s="836">
        <f>+E27*C27*$G$6</f>
        <v>35100</v>
      </c>
      <c r="H27" s="1395">
        <f t="shared" si="3"/>
        <v>0.80519361350706553</v>
      </c>
      <c r="I27" s="691"/>
      <c r="J27" s="691"/>
      <c r="K27" s="691"/>
      <c r="L27" s="691"/>
      <c r="M27" s="691"/>
      <c r="N27" s="691"/>
      <c r="O27" s="691"/>
      <c r="P27" s="691"/>
    </row>
    <row r="28" spans="2:16" x14ac:dyDescent="0.25">
      <c r="B28" s="1654" t="s">
        <v>1204</v>
      </c>
      <c r="C28" s="1521">
        <v>0.2</v>
      </c>
      <c r="D28" s="1364" t="str">
        <f>IFERROR(INDEX(Valores!E:E,MATCH(B28,Valores!C:C,0),1),"")</f>
        <v>Lts/Ha.</v>
      </c>
      <c r="E28" s="1365">
        <f>SUMIF(Valores!C:C,B28,Valores!F:F)</f>
        <v>22</v>
      </c>
      <c r="F28" s="1366" t="str">
        <f>IFERROR(INDEX(Valores!G:G,MATCH(B28,Valores!C:C,0),1),"")</f>
        <v>U$S/Lts.</v>
      </c>
      <c r="G28" s="836">
        <f>+E28*C28*$G$6</f>
        <v>6600.0000000000009</v>
      </c>
      <c r="H28" s="1395">
        <f t="shared" si="3"/>
        <v>0.15140392732611491</v>
      </c>
      <c r="I28" s="691"/>
      <c r="J28" s="691"/>
      <c r="K28" s="691"/>
      <c r="L28" s="691"/>
      <c r="M28" s="691"/>
      <c r="N28" s="691"/>
      <c r="O28" s="691"/>
      <c r="P28" s="691"/>
    </row>
    <row r="29" spans="2:16" x14ac:dyDescent="0.25">
      <c r="B29" s="1654"/>
      <c r="C29" s="1521"/>
      <c r="D29" s="1364" t="str">
        <f>IFERROR(INDEX(Valores!E:E,MATCH(B29,Valores!C:C,0),1),"")</f>
        <v/>
      </c>
      <c r="E29" s="1365">
        <f>SUMIF(Valores!C:C,B29,Valores!F:F)</f>
        <v>0</v>
      </c>
      <c r="F29" s="1366" t="str">
        <f>IFERROR(INDEX(Valores!G:G,MATCH(B29,Valores!C:C,0),1),"")</f>
        <v/>
      </c>
      <c r="G29" s="836">
        <f t="shared" si="2"/>
        <v>0</v>
      </c>
      <c r="H29" s="1395">
        <f t="shared" si="3"/>
        <v>0</v>
      </c>
      <c r="I29" s="691"/>
      <c r="J29" s="691"/>
      <c r="K29" s="691"/>
      <c r="L29" s="691"/>
      <c r="M29" s="691"/>
      <c r="N29" s="691"/>
      <c r="O29" s="691"/>
      <c r="P29" s="691"/>
    </row>
    <row r="30" spans="2:16" x14ac:dyDescent="0.25">
      <c r="B30" s="1654" t="s">
        <v>1208</v>
      </c>
      <c r="C30" s="1521">
        <v>1.8</v>
      </c>
      <c r="D30" s="1364" t="str">
        <f>IFERROR(INDEX(Valores!E:E,MATCH(B30,Valores!C:C,0),1),"")</f>
        <v>Lts/Ha.</v>
      </c>
      <c r="E30" s="1365">
        <f>SUMIF(Valores!C:C,B30,Valores!F:F)</f>
        <v>5.3</v>
      </c>
      <c r="F30" s="1366" t="str">
        <f>IFERROR(INDEX(Valores!G:G,MATCH(B30,Valores!C:C,0),1),"")</f>
        <v>U$S/Lts.</v>
      </c>
      <c r="G30" s="836">
        <f t="shared" si="2"/>
        <v>14309.999999999998</v>
      </c>
      <c r="H30" s="1395">
        <f t="shared" si="3"/>
        <v>0.3282712424298036</v>
      </c>
      <c r="I30" s="691"/>
      <c r="J30" s="691"/>
      <c r="K30" s="691"/>
      <c r="L30" s="691"/>
      <c r="M30" s="691"/>
      <c r="N30" s="691"/>
      <c r="O30" s="691"/>
      <c r="P30" s="691"/>
    </row>
    <row r="31" spans="2:16" x14ac:dyDescent="0.25">
      <c r="B31" s="1654" t="s">
        <v>1148</v>
      </c>
      <c r="C31" s="1521">
        <v>2.5</v>
      </c>
      <c r="D31" s="1364" t="str">
        <f>IFERROR(INDEX(Valores!E:E,MATCH(B31,Valores!C:C,0),1),"")</f>
        <v>Lts/Ha.</v>
      </c>
      <c r="E31" s="1365">
        <f>SUMIF(Valores!C:C,B31,Valores!F:F)</f>
        <v>3.9</v>
      </c>
      <c r="F31" s="1366" t="str">
        <f>IFERROR(INDEX(Valores!G:G,MATCH(B31,Valores!C:C,0),1),"")</f>
        <v>U$S/Lts.</v>
      </c>
      <c r="G31" s="836">
        <f t="shared" si="2"/>
        <v>14625</v>
      </c>
      <c r="H31" s="1395">
        <f t="shared" si="3"/>
        <v>0.33549733896127731</v>
      </c>
      <c r="I31" s="691"/>
      <c r="J31" s="691"/>
      <c r="K31" s="691"/>
      <c r="L31" s="691"/>
      <c r="M31" s="691"/>
      <c r="N31" s="691"/>
      <c r="O31" s="691"/>
      <c r="P31" s="691"/>
    </row>
    <row r="32" spans="2:16" x14ac:dyDescent="0.25">
      <c r="B32" s="1654"/>
      <c r="C32" s="1521"/>
      <c r="D32" s="1364" t="str">
        <f>IFERROR(INDEX(Valores!E:E,MATCH(B32,Valores!C:C,0),1),"")</f>
        <v/>
      </c>
      <c r="E32" s="1365">
        <f>SUMIF(Valores!C:C,B32,Valores!F:F)</f>
        <v>0</v>
      </c>
      <c r="F32" s="1366" t="str">
        <f>IFERROR(INDEX(Valores!G:G,MATCH(B32,Valores!C:C,0),1),"")</f>
        <v/>
      </c>
      <c r="G32" s="836">
        <f t="shared" si="2"/>
        <v>0</v>
      </c>
      <c r="H32" s="1395">
        <f t="shared" si="3"/>
        <v>0</v>
      </c>
      <c r="I32" s="691"/>
      <c r="J32" s="691"/>
      <c r="K32" s="691"/>
      <c r="L32" s="691"/>
      <c r="M32" s="691"/>
      <c r="N32" s="691"/>
      <c r="O32" s="691"/>
      <c r="P32" s="691"/>
    </row>
    <row r="33" spans="2:16" x14ac:dyDescent="0.25">
      <c r="B33" s="1654" t="s">
        <v>1085</v>
      </c>
      <c r="C33" s="1521">
        <v>0.3</v>
      </c>
      <c r="D33" s="1364" t="str">
        <f>IFERROR(INDEX(Valores!E:E,MATCH(B33,Valores!C:C,0),1),"")</f>
        <v>Lts/Ha.</v>
      </c>
      <c r="E33" s="1365">
        <f>SUMIF(Valores!C:C,B33,Valores!F:F)</f>
        <v>30.5</v>
      </c>
      <c r="F33" s="1366" t="str">
        <f>IFERROR(INDEX(Valores!G:G,MATCH(B33,Valores!C:C,0),1),"")</f>
        <v>U$S/Lts.</v>
      </c>
      <c r="G33" s="836">
        <f t="shared" si="2"/>
        <v>13725</v>
      </c>
      <c r="H33" s="1395">
        <f t="shared" si="3"/>
        <v>0.31485134887135252</v>
      </c>
      <c r="I33" s="691"/>
      <c r="J33" s="691"/>
      <c r="K33" s="691"/>
      <c r="L33" s="691"/>
      <c r="M33" s="691"/>
      <c r="N33" s="691"/>
      <c r="O33" s="691"/>
      <c r="P33" s="691"/>
    </row>
    <row r="34" spans="2:16" x14ac:dyDescent="0.25">
      <c r="B34" s="1654" t="s">
        <v>1113</v>
      </c>
      <c r="C34" s="1521">
        <v>0.6</v>
      </c>
      <c r="D34" s="1364" t="str">
        <f>IFERROR(INDEX(Valores!E:E,MATCH(B34,Valores!C:C,0),1),"")</f>
        <v>Lts/Ha.</v>
      </c>
      <c r="E34" s="1365">
        <f>SUMIF(Valores!C:C,B34,Valores!F:F)</f>
        <v>23</v>
      </c>
      <c r="F34" s="1366" t="str">
        <f>IFERROR(INDEX(Valores!G:G,MATCH(B34,Valores!C:C,0),1),"")</f>
        <v>U$S/Lts.</v>
      </c>
      <c r="G34" s="836">
        <f t="shared" si="2"/>
        <v>20700</v>
      </c>
      <c r="H34" s="1395">
        <f t="shared" si="3"/>
        <v>0.4748577720682694</v>
      </c>
      <c r="I34" s="691"/>
      <c r="J34" s="691"/>
      <c r="K34" s="691"/>
      <c r="L34" s="691"/>
      <c r="M34" s="691"/>
      <c r="N34" s="691"/>
      <c r="O34" s="691"/>
      <c r="P34" s="691"/>
    </row>
    <row r="35" spans="2:16" x14ac:dyDescent="0.25">
      <c r="B35" s="1654"/>
      <c r="C35" s="1521"/>
      <c r="D35" s="1364" t="str">
        <f>IFERROR(INDEX(Valores!E:E,MATCH(B35,Valores!C:C,0),1),"")</f>
        <v/>
      </c>
      <c r="E35" s="1365">
        <f>SUMIF(Valores!C:C,B35,Valores!F:F)</f>
        <v>0</v>
      </c>
      <c r="F35" s="1366" t="str">
        <f>IFERROR(INDEX(Valores!G:G,MATCH(B35,Valores!C:C,0),1),"")</f>
        <v/>
      </c>
      <c r="G35" s="836">
        <f t="shared" si="2"/>
        <v>0</v>
      </c>
      <c r="H35" s="1395">
        <f t="shared" si="3"/>
        <v>0</v>
      </c>
      <c r="I35" s="691"/>
      <c r="J35" s="691"/>
      <c r="K35" s="691"/>
      <c r="L35" s="691"/>
      <c r="M35" s="691"/>
      <c r="N35" s="691"/>
      <c r="O35" s="691"/>
      <c r="P35" s="691"/>
    </row>
    <row r="36" spans="2:16" x14ac:dyDescent="0.25">
      <c r="B36" s="1654" t="s">
        <v>1107</v>
      </c>
      <c r="C36" s="1521">
        <v>1</v>
      </c>
      <c r="D36" s="1364" t="str">
        <f>IFERROR(INDEX(Valores!E:E,MATCH(B36,Valores!C:C,0),1),"")</f>
        <v>Dosis/Ha.</v>
      </c>
      <c r="E36" s="1365">
        <f>SUMIF(Valores!C:C,B36,Valores!F:F)</f>
        <v>4.5</v>
      </c>
      <c r="F36" s="1366" t="str">
        <f>IFERROR(INDEX(Valores!G:G,MATCH(B36,Valores!C:C,0),1),"")</f>
        <v>U$S/Dosis</v>
      </c>
      <c r="G36" s="836">
        <f t="shared" si="2"/>
        <v>6750</v>
      </c>
      <c r="H36" s="1395">
        <f t="shared" si="3"/>
        <v>0.15484492567443567</v>
      </c>
      <c r="I36" s="691"/>
      <c r="J36" s="691"/>
      <c r="K36" s="691"/>
      <c r="L36" s="691"/>
      <c r="M36" s="691"/>
      <c r="N36" s="691"/>
      <c r="O36" s="691"/>
      <c r="P36" s="691"/>
    </row>
    <row r="37" spans="2:16" x14ac:dyDescent="0.25">
      <c r="B37" s="1654"/>
      <c r="C37" s="1521"/>
      <c r="D37" s="1364" t="str">
        <f>IFERROR(INDEX(Valores!E:E,MATCH(B37,Valores!C:C,0),1),"")</f>
        <v/>
      </c>
      <c r="E37" s="1365">
        <f>SUMIF(Valores!C:C,B37,Valores!F:F)</f>
        <v>0</v>
      </c>
      <c r="F37" s="1366" t="str">
        <f>IFERROR(INDEX(Valores!G:G,MATCH(B37,Valores!C:C,0),1),"")</f>
        <v/>
      </c>
      <c r="G37" s="836">
        <f t="shared" si="2"/>
        <v>0</v>
      </c>
      <c r="H37" s="1395">
        <f t="shared" si="3"/>
        <v>0</v>
      </c>
      <c r="I37" s="691"/>
      <c r="J37" s="691"/>
      <c r="K37" s="691"/>
      <c r="L37" s="691"/>
      <c r="M37" s="691"/>
      <c r="N37" s="691"/>
      <c r="O37" s="691"/>
      <c r="P37" s="691"/>
    </row>
    <row r="38" spans="2:16" x14ac:dyDescent="0.25">
      <c r="B38" s="1654"/>
      <c r="C38" s="1521"/>
      <c r="D38" s="1364" t="str">
        <f>IFERROR(INDEX(Valores!E:E,MATCH(B38,Valores!C:C,0),1),"")</f>
        <v/>
      </c>
      <c r="E38" s="1365">
        <f>SUMIF(Valores!C:C,B38,Valores!F:F)</f>
        <v>0</v>
      </c>
      <c r="F38" s="1366" t="str">
        <f>IFERROR(INDEX(Valores!G:G,MATCH(B38,Valores!C:C,0),1),"")</f>
        <v/>
      </c>
      <c r="G38" s="836">
        <f t="shared" si="2"/>
        <v>0</v>
      </c>
      <c r="H38" s="1395">
        <f t="shared" si="3"/>
        <v>0</v>
      </c>
      <c r="I38" s="691"/>
      <c r="J38" s="691"/>
      <c r="K38" s="691"/>
      <c r="L38" s="691"/>
      <c r="M38" s="691"/>
      <c r="N38" s="691"/>
      <c r="O38" s="691"/>
      <c r="P38" s="691"/>
    </row>
    <row r="39" spans="2:16" x14ac:dyDescent="0.25">
      <c r="B39" s="1654"/>
      <c r="C39" s="1521"/>
      <c r="D39" s="1364" t="str">
        <f>IFERROR(INDEX(Valores!E:E,MATCH(B39,Valores!C:C,0),1),"")</f>
        <v/>
      </c>
      <c r="E39" s="1365">
        <f>SUMIF(Valores!C:C,B39,Valores!F:F)</f>
        <v>0</v>
      </c>
      <c r="F39" s="1366" t="str">
        <f>IFERROR(INDEX(Valores!G:G,MATCH(B39,Valores!C:C,0),1),"")</f>
        <v/>
      </c>
      <c r="G39" s="836">
        <f t="shared" si="2"/>
        <v>0</v>
      </c>
      <c r="H39" s="1395">
        <f t="shared" si="3"/>
        <v>0</v>
      </c>
      <c r="I39" s="691"/>
      <c r="J39" s="691"/>
      <c r="K39" s="691"/>
      <c r="L39" s="691"/>
      <c r="M39" s="691"/>
      <c r="N39" s="691"/>
      <c r="O39" s="691"/>
      <c r="P39" s="691"/>
    </row>
    <row r="40" spans="2:16" x14ac:dyDescent="0.25">
      <c r="B40" s="1654"/>
      <c r="C40" s="1521"/>
      <c r="D40" s="1364" t="str">
        <f>IFERROR(INDEX(Valores!E:E,MATCH(B40,Valores!C:C,0),1),"")</f>
        <v/>
      </c>
      <c r="E40" s="1365">
        <f>SUMIF(Valores!C:C,B40,Valores!F:F)</f>
        <v>0</v>
      </c>
      <c r="F40" s="1366" t="str">
        <f>IFERROR(INDEX(Valores!G:G,MATCH(B40,Valores!C:C,0),1),"")</f>
        <v/>
      </c>
      <c r="G40" s="836">
        <f t="shared" si="2"/>
        <v>0</v>
      </c>
      <c r="H40" s="1395">
        <f t="shared" si="3"/>
        <v>0</v>
      </c>
      <c r="I40" s="691"/>
      <c r="J40" s="691"/>
      <c r="K40" s="691"/>
      <c r="L40" s="691"/>
      <c r="M40" s="691"/>
      <c r="N40" s="691"/>
      <c r="O40" s="691"/>
      <c r="P40" s="691"/>
    </row>
    <row r="41" spans="2:16" x14ac:dyDescent="0.25">
      <c r="B41" s="1654"/>
      <c r="C41" s="1521"/>
      <c r="D41" s="1364" t="str">
        <f>IFERROR(INDEX(Valores!E:E,MATCH(B41,Valores!C:C,0),1),"")</f>
        <v/>
      </c>
      <c r="E41" s="1365">
        <f>SUMIF(Valores!C:C,B41,Valores!F:F)</f>
        <v>0</v>
      </c>
      <c r="F41" s="1366" t="str">
        <f>IFERROR(INDEX(Valores!G:G,MATCH(B41,Valores!C:C,0),1),"")</f>
        <v/>
      </c>
      <c r="G41" s="836">
        <f t="shared" si="2"/>
        <v>0</v>
      </c>
      <c r="H41" s="1395">
        <f t="shared" si="3"/>
        <v>0</v>
      </c>
      <c r="I41" s="691"/>
      <c r="J41" s="691"/>
      <c r="K41" s="691"/>
      <c r="L41" s="691"/>
      <c r="M41" s="691"/>
      <c r="N41" s="691"/>
      <c r="O41" s="691"/>
      <c r="P41" s="691"/>
    </row>
    <row r="42" spans="2:16" x14ac:dyDescent="0.25">
      <c r="B42" s="1654"/>
      <c r="C42" s="1521"/>
      <c r="D42" s="1364" t="str">
        <f>IFERROR(INDEX(Valores!E:E,MATCH(B42,Valores!C:C,0),1),"")</f>
        <v/>
      </c>
      <c r="E42" s="1365">
        <f>SUMIF(Valores!C:C,B42,Valores!F:F)</f>
        <v>0</v>
      </c>
      <c r="F42" s="1366" t="str">
        <f>IFERROR(INDEX(Valores!G:G,MATCH(B42,Valores!C:C,0),1),"")</f>
        <v/>
      </c>
      <c r="G42" s="836">
        <f t="shared" si="2"/>
        <v>0</v>
      </c>
      <c r="H42" s="1395">
        <f t="shared" si="3"/>
        <v>0</v>
      </c>
      <c r="I42" s="691"/>
      <c r="J42" s="691"/>
      <c r="K42" s="691"/>
      <c r="L42" s="691"/>
      <c r="M42" s="691"/>
      <c r="N42" s="691"/>
      <c r="O42" s="691"/>
      <c r="P42" s="691"/>
    </row>
    <row r="43" spans="2:16" x14ac:dyDescent="0.25">
      <c r="B43" s="1654"/>
      <c r="C43" s="1521"/>
      <c r="D43" s="1364" t="str">
        <f>IFERROR(INDEX(Valores!E:E,MATCH(B43,Valores!C:C,0),1),"")</f>
        <v/>
      </c>
      <c r="E43" s="1365">
        <f>SUMIF(Valores!C:C,B43,Valores!F:F)</f>
        <v>0</v>
      </c>
      <c r="F43" s="1366" t="str">
        <f>IFERROR(INDEX(Valores!G:G,MATCH(B43,Valores!C:C,0),1),"")</f>
        <v/>
      </c>
      <c r="G43" s="836">
        <f t="shared" si="2"/>
        <v>0</v>
      </c>
      <c r="H43" s="1395">
        <f t="shared" si="3"/>
        <v>0</v>
      </c>
      <c r="I43" s="691"/>
      <c r="J43" s="691"/>
      <c r="K43" s="691"/>
      <c r="L43" s="691"/>
      <c r="M43" s="691"/>
      <c r="N43" s="691"/>
      <c r="O43" s="691"/>
      <c r="P43" s="691"/>
    </row>
    <row r="44" spans="2:16" x14ac:dyDescent="0.25">
      <c r="B44" s="1654"/>
      <c r="C44" s="1521"/>
      <c r="D44" s="1364" t="str">
        <f>IFERROR(INDEX(Valores!E:E,MATCH(B44,Valores!C:C,0),1),"")</f>
        <v/>
      </c>
      <c r="E44" s="1365">
        <f>SUMIF(Valores!C:C,B44,Valores!F:F)</f>
        <v>0</v>
      </c>
      <c r="F44" s="1366" t="str">
        <f>IFERROR(INDEX(Valores!G:G,MATCH(B44,Valores!C:C,0),1),"")</f>
        <v/>
      </c>
      <c r="G44" s="836">
        <f t="shared" si="2"/>
        <v>0</v>
      </c>
      <c r="H44" s="1395">
        <f t="shared" si="3"/>
        <v>0</v>
      </c>
      <c r="I44" s="691"/>
      <c r="J44" s="691"/>
      <c r="K44" s="691"/>
      <c r="L44" s="691"/>
      <c r="M44" s="691"/>
      <c r="N44" s="691"/>
      <c r="O44" s="691"/>
      <c r="P44" s="691"/>
    </row>
    <row r="45" spans="2:16" ht="14.4" customHeight="1" thickBot="1" x14ac:dyDescent="0.3">
      <c r="B45" s="172" t="s">
        <v>94</v>
      </c>
      <c r="C45" s="1193"/>
      <c r="D45" s="702"/>
      <c r="E45" s="1194">
        <f>+G45/$G$6</f>
        <v>191.28</v>
      </c>
      <c r="F45" s="1195" t="s">
        <v>95</v>
      </c>
      <c r="G45" s="840">
        <f>SUM(G15:G44)</f>
        <v>286920</v>
      </c>
      <c r="H45" s="1396">
        <f>SUM(H15:H44)</f>
        <v>6.5819416406680116</v>
      </c>
      <c r="I45" s="691"/>
      <c r="J45" s="691"/>
      <c r="K45" s="691"/>
      <c r="L45" s="691"/>
      <c r="M45" s="691"/>
      <c r="N45" s="691"/>
      <c r="O45" s="691"/>
      <c r="P45" s="691"/>
    </row>
    <row r="46" spans="2:16" x14ac:dyDescent="0.25">
      <c r="B46" s="62"/>
      <c r="C46" s="776"/>
      <c r="D46" s="111"/>
      <c r="E46" s="16"/>
      <c r="F46" s="681"/>
      <c r="G46" s="834"/>
      <c r="H46" s="1398"/>
      <c r="I46" s="691"/>
      <c r="J46" s="691"/>
      <c r="K46" s="691"/>
      <c r="L46" s="691"/>
      <c r="M46" s="691"/>
      <c r="N46" s="691"/>
      <c r="O46" s="691"/>
      <c r="P46" s="691"/>
    </row>
    <row r="47" spans="2:16" x14ac:dyDescent="0.25">
      <c r="B47" s="1654" t="s">
        <v>1089</v>
      </c>
      <c r="C47" s="1521">
        <v>70</v>
      </c>
      <c r="D47" s="1364" t="str">
        <f>IFERROR(INDEX(Valores!E:E,MATCH(B47,Valores!C:C,0),1),"")</f>
        <v>Kg/Ha.</v>
      </c>
      <c r="E47" s="1365">
        <f>SUMIF(Valores!C:C,B47,Valores!F:F)</f>
        <v>430</v>
      </c>
      <c r="F47" s="1366" t="str">
        <f>IFERROR(INDEX(Valores!G:G,MATCH(B47,Valores!C:C,0),1),"")</f>
        <v>U$S/ton.</v>
      </c>
      <c r="G47" s="836">
        <f>+E47*C47*$G$6/1000</f>
        <v>45150</v>
      </c>
      <c r="H47" s="1395">
        <f>G47/$D$10</f>
        <v>1.0357405028445585</v>
      </c>
      <c r="I47" s="691"/>
      <c r="J47" s="691"/>
      <c r="K47" s="691"/>
      <c r="L47" s="691"/>
      <c r="M47" s="691"/>
      <c r="N47" s="691"/>
      <c r="O47" s="691"/>
      <c r="P47" s="691"/>
    </row>
    <row r="48" spans="2:16" x14ac:dyDescent="0.25">
      <c r="B48" s="1654"/>
      <c r="C48" s="1521"/>
      <c r="D48" s="1364" t="str">
        <f>IFERROR(INDEX(Valores!E:E,MATCH(B48,Valores!C:C,0),1),"")</f>
        <v/>
      </c>
      <c r="E48" s="1365">
        <f>SUMIF(Valores!C:C,B48,Valores!F:F)</f>
        <v>0</v>
      </c>
      <c r="F48" s="1366" t="str">
        <f>IFERROR(INDEX(Valores!G:G,MATCH(B48,Valores!C:C,0),1),"")</f>
        <v/>
      </c>
      <c r="G48" s="836">
        <f>+E48*C48*$G$6/1000</f>
        <v>0</v>
      </c>
      <c r="H48" s="1395">
        <f>G48/$D$10</f>
        <v>0</v>
      </c>
      <c r="I48" s="691"/>
      <c r="J48" s="691"/>
      <c r="K48" s="691"/>
      <c r="L48" s="691"/>
      <c r="M48" s="691"/>
      <c r="N48" s="691"/>
      <c r="O48" s="691"/>
      <c r="P48" s="691"/>
    </row>
    <row r="49" spans="2:16" x14ac:dyDescent="0.25">
      <c r="B49" s="1654"/>
      <c r="C49" s="1521"/>
      <c r="D49" s="1364" t="str">
        <f>IFERROR(INDEX(Valores!E:E,MATCH(B49,Valores!C:C,0),1),"")</f>
        <v/>
      </c>
      <c r="E49" s="1365">
        <f>SUMIF(Valores!C:C,B49,Valores!F:F)</f>
        <v>0</v>
      </c>
      <c r="F49" s="1366" t="str">
        <f>IFERROR(INDEX(Valores!G:G,MATCH(B49,Valores!C:C,0),1),"")</f>
        <v/>
      </c>
      <c r="G49" s="836">
        <f>+E49*C49*$G$6/1000</f>
        <v>0</v>
      </c>
      <c r="H49" s="1395">
        <f>G49/$D$10</f>
        <v>0</v>
      </c>
      <c r="I49" s="691"/>
      <c r="J49" s="691"/>
      <c r="K49" s="691"/>
      <c r="L49" s="691"/>
      <c r="M49" s="691"/>
      <c r="N49" s="691"/>
      <c r="O49" s="691"/>
      <c r="P49" s="691"/>
    </row>
    <row r="50" spans="2:16" x14ac:dyDescent="0.25">
      <c r="B50" s="1654"/>
      <c r="C50" s="1521"/>
      <c r="D50" s="1364" t="str">
        <f>IFERROR(INDEX(Valores!E:E,MATCH(B50,Valores!C:C,0),1),"")</f>
        <v/>
      </c>
      <c r="E50" s="1365">
        <f>SUMIF(Valores!C:C,B50,Valores!F:F)</f>
        <v>0</v>
      </c>
      <c r="F50" s="1366" t="str">
        <f>IFERROR(INDEX(Valores!G:G,MATCH(B50,Valores!C:C,0),1),"")</f>
        <v/>
      </c>
      <c r="G50" s="836"/>
      <c r="H50" s="1395"/>
      <c r="I50" s="691"/>
      <c r="J50" s="691"/>
      <c r="K50" s="691"/>
      <c r="L50" s="691"/>
      <c r="M50" s="691"/>
      <c r="N50" s="691"/>
      <c r="O50" s="691"/>
      <c r="P50" s="691"/>
    </row>
    <row r="51" spans="2:16" ht="14.4" customHeight="1" thickBot="1" x14ac:dyDescent="0.3">
      <c r="B51" s="1442" t="s">
        <v>100</v>
      </c>
      <c r="C51" s="1639"/>
      <c r="D51" s="1640"/>
      <c r="E51" s="1641">
        <f>+G51/$G$6</f>
        <v>30.1</v>
      </c>
      <c r="F51" s="1642" t="s">
        <v>95</v>
      </c>
      <c r="G51" s="1643">
        <f>SUM(G47:G50)</f>
        <v>45150</v>
      </c>
      <c r="H51" s="1644">
        <f>SUM(H47:H50)</f>
        <v>1.0357405028445585</v>
      </c>
      <c r="I51" s="691"/>
      <c r="J51" s="691"/>
      <c r="K51" s="691"/>
      <c r="L51" s="691"/>
      <c r="M51" s="691"/>
      <c r="N51" s="691"/>
      <c r="O51" s="691"/>
      <c r="P51" s="691"/>
    </row>
    <row r="52" spans="2:16" x14ac:dyDescent="0.25">
      <c r="B52" s="1645"/>
      <c r="C52" s="1026"/>
      <c r="D52" s="1646"/>
      <c r="E52" s="1647"/>
      <c r="F52" s="1648"/>
      <c r="G52" s="1649"/>
      <c r="H52" s="1397"/>
      <c r="I52" s="691"/>
      <c r="J52" s="691"/>
      <c r="K52" s="691"/>
      <c r="L52" s="691"/>
      <c r="M52" s="691"/>
      <c r="N52" s="691"/>
      <c r="O52" s="691"/>
      <c r="P52" s="691"/>
    </row>
    <row r="53" spans="2:16" ht="14.4" customHeight="1" x14ac:dyDescent="0.25">
      <c r="B53" s="1654" t="s">
        <v>37</v>
      </c>
      <c r="C53" s="1521">
        <v>2</v>
      </c>
      <c r="D53" s="1377" t="str">
        <f>IFERROR(INDEX(Valores!E:E,MATCH(B53,Valores!C:C,0),1),"")</f>
        <v>bls./Ha.</v>
      </c>
      <c r="E53" s="1378">
        <f>SUMIF(Valores!C:C,B53,Valores!F:F)</f>
        <v>38</v>
      </c>
      <c r="F53" s="1624" t="str">
        <f>IFERROR(INDEX(Valores!G:G,MATCH(B53,Valores!C:C,0),1),"")</f>
        <v>U$S/bls.</v>
      </c>
      <c r="G53" s="1651">
        <f>+E53*C53*$G$6</f>
        <v>114000</v>
      </c>
      <c r="H53" s="1652">
        <f>G53/$D$10</f>
        <v>2.6151587447238027</v>
      </c>
      <c r="I53" s="691"/>
      <c r="J53" s="691"/>
      <c r="K53" s="691"/>
      <c r="L53" s="691"/>
      <c r="M53" s="691"/>
      <c r="N53" s="691"/>
      <c r="O53" s="691"/>
      <c r="P53" s="691"/>
    </row>
    <row r="54" spans="2:16" ht="14.4" customHeight="1" x14ac:dyDescent="0.25">
      <c r="B54" s="1654"/>
      <c r="C54" s="1521"/>
      <c r="D54" s="1377" t="str">
        <f>IFERROR(INDEX(Valores!E:E,MATCH(B54,Valores!C:C,0),1),"")</f>
        <v/>
      </c>
      <c r="E54" s="1378">
        <f>SUMIF(Valores!C:C,B54,Valores!F:F)</f>
        <v>0</v>
      </c>
      <c r="F54" s="1624" t="str">
        <f>IFERROR(INDEX(Valores!G:G,MATCH(B54,Valores!C:C,0),1),"")</f>
        <v/>
      </c>
      <c r="G54" s="1651">
        <f>+E54*C54*$G$6</f>
        <v>0</v>
      </c>
      <c r="H54" s="1652">
        <f>G54/$D$10</f>
        <v>0</v>
      </c>
      <c r="I54" s="691"/>
      <c r="J54" s="691"/>
      <c r="K54" s="691"/>
      <c r="L54" s="691"/>
      <c r="M54" s="691"/>
      <c r="N54" s="691"/>
      <c r="O54" s="691"/>
      <c r="P54" s="691"/>
    </row>
    <row r="55" spans="2:16" ht="14.4" thickBot="1" x14ac:dyDescent="0.3">
      <c r="B55" s="65" t="s">
        <v>1212</v>
      </c>
      <c r="C55" s="1193"/>
      <c r="D55" s="701"/>
      <c r="E55" s="1609">
        <f>+G55/$G$6</f>
        <v>76</v>
      </c>
      <c r="F55" s="1616" t="s">
        <v>95</v>
      </c>
      <c r="G55" s="1617">
        <f>SUM(G52:G54)</f>
        <v>114000</v>
      </c>
      <c r="H55" s="1650">
        <f>SUM(H52:H54)</f>
        <v>2.6151587447238027</v>
      </c>
      <c r="I55" s="691"/>
      <c r="J55" s="691"/>
      <c r="K55" s="691"/>
      <c r="L55" s="691"/>
      <c r="M55" s="691"/>
      <c r="N55" s="691"/>
      <c r="O55" s="691"/>
      <c r="P55" s="691"/>
    </row>
    <row r="56" spans="2:16" outlineLevel="1" x14ac:dyDescent="0.25">
      <c r="B56" s="1655" t="s">
        <v>55</v>
      </c>
      <c r="C56" s="1533">
        <v>1</v>
      </c>
      <c r="D56" s="1416" t="str">
        <f>IFERROR(INDEX(Valores!E:E,MATCH(B56,Valores!C:C,0),1),"")</f>
        <v>Siembra</v>
      </c>
      <c r="E56" s="1422">
        <f>SUMIF(Valores!C:C,B56,Valores!F:F)</f>
        <v>50</v>
      </c>
      <c r="F56" s="1403" t="str">
        <f>IFERROR(INDEX(Valores!G:G,MATCH(B56,Valores!C:C,0),1),"")</f>
        <v>U$S/Ha.</v>
      </c>
      <c r="G56" s="834">
        <f>+E56*C56*$G$6</f>
        <v>75000</v>
      </c>
      <c r="H56" s="1398">
        <f>G56/$D$10</f>
        <v>1.7204991741603963</v>
      </c>
      <c r="I56" s="691"/>
      <c r="J56" s="691"/>
      <c r="K56" s="691"/>
      <c r="L56" s="691"/>
      <c r="M56" s="691"/>
      <c r="N56" s="691"/>
      <c r="O56" s="691"/>
      <c r="P56" s="691"/>
    </row>
    <row r="57" spans="2:16" outlineLevel="1" x14ac:dyDescent="0.25">
      <c r="B57" s="1654" t="s">
        <v>48</v>
      </c>
      <c r="C57" s="1521">
        <v>3</v>
      </c>
      <c r="D57" s="1364" t="str">
        <f>IFERROR(INDEX(Valores!E:E,MATCH(B57,Valores!C:C,0),1),"")</f>
        <v>Aplicaciones</v>
      </c>
      <c r="E57" s="1365">
        <f>SUMIF(Valores!C:C,B57,Valores!F:F)</f>
        <v>8</v>
      </c>
      <c r="F57" s="1366" t="str">
        <f>IFERROR(INDEX(Valores!G:G,MATCH(B57,Valores!C:C,0),1),"")</f>
        <v>U$S/Ha.</v>
      </c>
      <c r="G57" s="836">
        <f t="shared" ref="G57:G59" si="7">+E57*C57*$G$6</f>
        <v>36000</v>
      </c>
      <c r="H57" s="1395">
        <f>G57/$D$10</f>
        <v>0.82583960359699027</v>
      </c>
      <c r="I57" s="691"/>
      <c r="J57" s="691"/>
      <c r="K57" s="691"/>
      <c r="L57" s="691"/>
      <c r="M57" s="691"/>
      <c r="N57" s="691"/>
      <c r="O57" s="691"/>
      <c r="P57" s="691"/>
    </row>
    <row r="58" spans="2:16" outlineLevel="1" x14ac:dyDescent="0.25">
      <c r="B58" s="1654" t="s">
        <v>47</v>
      </c>
      <c r="C58" s="1521">
        <v>1</v>
      </c>
      <c r="D58" s="1364" t="str">
        <f>IFERROR(INDEX(Valores!E:E,MATCH(B58,Valores!C:C,0),1),"")</f>
        <v>Aplicaciones</v>
      </c>
      <c r="E58" s="1365">
        <f>SUMIF(Valores!C:C,B58,Valores!F:F)</f>
        <v>14</v>
      </c>
      <c r="F58" s="1366" t="str">
        <f>IFERROR(INDEX(Valores!G:G,MATCH(B58,Valores!C:C,0),1),"")</f>
        <v>U$S/Ha.</v>
      </c>
      <c r="G58" s="836">
        <f t="shared" si="7"/>
        <v>21000</v>
      </c>
      <c r="H58" s="1395">
        <f>G58/$D$10</f>
        <v>0.48173976876491098</v>
      </c>
      <c r="I58" s="691"/>
      <c r="J58" s="691"/>
      <c r="K58" s="691"/>
      <c r="L58" s="691"/>
      <c r="M58" s="691"/>
      <c r="N58" s="691"/>
      <c r="O58" s="691"/>
      <c r="P58" s="691"/>
    </row>
    <row r="59" spans="2:16" outlineLevel="1" x14ac:dyDescent="0.25">
      <c r="B59" s="1654"/>
      <c r="C59" s="1521"/>
      <c r="D59" s="1364" t="str">
        <f>IFERROR(INDEX(Valores!E:E,MATCH(B59,Valores!C:C,0),1),"")</f>
        <v/>
      </c>
      <c r="E59" s="1365">
        <f>SUMIF(Valores!C:C,B59,Valores!F:F)</f>
        <v>0</v>
      </c>
      <c r="F59" s="1366" t="str">
        <f>IFERROR(INDEX(Valores!G:G,MATCH(B59,Valores!C:C,0),1),"")</f>
        <v/>
      </c>
      <c r="G59" s="836">
        <f t="shared" si="7"/>
        <v>0</v>
      </c>
      <c r="H59" s="1395">
        <f>G59/$D$10</f>
        <v>0</v>
      </c>
      <c r="I59" s="691"/>
      <c r="J59" s="691"/>
      <c r="K59" s="691"/>
      <c r="L59" s="691"/>
      <c r="M59" s="691"/>
      <c r="N59" s="691"/>
      <c r="O59" s="691"/>
      <c r="P59" s="691"/>
    </row>
    <row r="60" spans="2:16" ht="14.4" customHeight="1" thickBot="1" x14ac:dyDescent="0.3">
      <c r="B60" s="65" t="s">
        <v>105</v>
      </c>
      <c r="C60" s="66"/>
      <c r="D60" s="67"/>
      <c r="E60" s="69">
        <f>+G60/$G$6</f>
        <v>88</v>
      </c>
      <c r="F60" s="682" t="s">
        <v>95</v>
      </c>
      <c r="G60" s="840">
        <f>SUM(G56:G59)</f>
        <v>132000</v>
      </c>
      <c r="H60" s="1396">
        <f>SUM(H56:H59)</f>
        <v>3.0280785465222975</v>
      </c>
      <c r="I60" s="691"/>
      <c r="J60" s="691"/>
      <c r="K60" s="691"/>
      <c r="L60" s="691"/>
      <c r="M60" s="691"/>
      <c r="N60" s="691"/>
      <c r="O60" s="691"/>
      <c r="P60" s="691"/>
    </row>
    <row r="61" spans="2:16" x14ac:dyDescent="0.25">
      <c r="B61" s="62"/>
      <c r="C61" s="21"/>
      <c r="D61" s="17"/>
      <c r="E61" s="16"/>
      <c r="F61" s="681"/>
      <c r="G61" s="834"/>
      <c r="H61" s="1398"/>
      <c r="I61" s="691"/>
      <c r="J61" s="691"/>
      <c r="K61" s="691"/>
      <c r="L61" s="691"/>
      <c r="M61" s="691"/>
      <c r="N61" s="691"/>
      <c r="O61" s="691"/>
      <c r="P61" s="691"/>
    </row>
    <row r="62" spans="2:16" ht="13.95" customHeight="1" x14ac:dyDescent="0.25">
      <c r="B62" s="54" t="s">
        <v>106</v>
      </c>
      <c r="C62" s="1527">
        <v>35</v>
      </c>
      <c r="D62" s="55" t="s">
        <v>107</v>
      </c>
      <c r="E62" s="93">
        <v>3.6299999999999999E-2</v>
      </c>
      <c r="F62" s="674" t="s">
        <v>72</v>
      </c>
      <c r="G62" s="842">
        <f>C62*(E62)*$D$10</f>
        <v>55383.635999999999</v>
      </c>
      <c r="H62" s="1399">
        <f>G62/$D$10</f>
        <v>1.2705</v>
      </c>
      <c r="I62" s="691"/>
      <c r="J62" s="691"/>
      <c r="K62" s="691"/>
      <c r="L62" s="691"/>
      <c r="M62" s="691"/>
      <c r="N62" s="691"/>
      <c r="O62" s="691"/>
      <c r="P62" s="691"/>
    </row>
    <row r="63" spans="2:16" ht="13.95" customHeight="1" thickBot="1" x14ac:dyDescent="0.3">
      <c r="B63" s="304"/>
      <c r="C63" s="844"/>
      <c r="D63" s="305"/>
      <c r="E63" s="306"/>
      <c r="F63" s="683"/>
      <c r="G63" s="845"/>
      <c r="H63" s="1400"/>
      <c r="I63" s="691"/>
      <c r="J63" s="691"/>
      <c r="K63" s="691"/>
      <c r="L63" s="691"/>
      <c r="M63" s="691"/>
      <c r="N63" s="691"/>
      <c r="O63" s="691"/>
      <c r="P63" s="691"/>
    </row>
    <row r="64" spans="2:16" ht="14.4" hidden="1" customHeight="1" outlineLevel="1" thickBot="1" x14ac:dyDescent="0.3">
      <c r="B64" s="307"/>
      <c r="C64" s="308"/>
      <c r="D64" s="17"/>
      <c r="E64" s="309"/>
      <c r="F64" s="681"/>
      <c r="G64" s="842"/>
      <c r="H64" s="1399"/>
      <c r="I64" s="691"/>
      <c r="J64" s="691"/>
      <c r="K64" s="691"/>
      <c r="L64" s="691"/>
      <c r="M64" s="691"/>
      <c r="N64" s="691"/>
      <c r="O64" s="691"/>
      <c r="P64" s="691"/>
    </row>
    <row r="65" spans="1:16" ht="14.4" hidden="1" customHeight="1" outlineLevel="1" thickBot="1" x14ac:dyDescent="0.3">
      <c r="B65" s="310" t="s">
        <v>200</v>
      </c>
      <c r="C65" s="311">
        <v>25</v>
      </c>
      <c r="D65" s="55" t="s">
        <v>107</v>
      </c>
      <c r="E65" s="93">
        <v>0</v>
      </c>
      <c r="F65" s="674" t="s">
        <v>72</v>
      </c>
      <c r="G65" s="842">
        <f>C65*(E65)*D13</f>
        <v>0</v>
      </c>
      <c r="H65" s="1399">
        <f>G65/$D$10</f>
        <v>0</v>
      </c>
      <c r="I65" s="691"/>
      <c r="J65" s="691"/>
      <c r="K65" s="691"/>
      <c r="L65" s="691"/>
      <c r="M65" s="691"/>
      <c r="N65" s="691"/>
      <c r="O65" s="691"/>
      <c r="P65" s="691"/>
    </row>
    <row r="66" spans="1:16" ht="14.4" hidden="1" customHeight="1" outlineLevel="1" thickBot="1" x14ac:dyDescent="0.3">
      <c r="B66" s="307"/>
      <c r="C66" s="265"/>
      <c r="D66" s="55"/>
      <c r="E66" s="93"/>
      <c r="F66" s="674"/>
      <c r="G66" s="842"/>
      <c r="H66" s="1399"/>
      <c r="I66" s="691"/>
      <c r="J66" s="691"/>
      <c r="K66" s="691"/>
      <c r="L66" s="691"/>
      <c r="M66" s="691"/>
      <c r="N66" s="691"/>
      <c r="O66" s="691"/>
      <c r="P66" s="691"/>
    </row>
    <row r="67" spans="1:16" ht="16.2" customHeight="1" collapsed="1" thickBot="1" x14ac:dyDescent="0.35">
      <c r="A67" s="117"/>
      <c r="B67" s="1514" t="s">
        <v>108</v>
      </c>
      <c r="C67" s="1515"/>
      <c r="D67" s="1515"/>
      <c r="E67" s="1516">
        <f>+G67/$G$6</f>
        <v>422.30242399999997</v>
      </c>
      <c r="F67" s="1517"/>
      <c r="G67" s="1518">
        <f>+G45+G51+G60+G53+G62</f>
        <v>633453.63599999994</v>
      </c>
      <c r="H67" s="1519">
        <f>+H45+H51+H60+H53+H62</f>
        <v>14.53141943475867</v>
      </c>
      <c r="I67" s="691"/>
      <c r="J67" s="691"/>
      <c r="K67" s="691"/>
      <c r="L67" s="691"/>
      <c r="M67" s="691"/>
      <c r="N67" s="691"/>
      <c r="O67" s="691"/>
      <c r="P67" s="691"/>
    </row>
    <row r="68" spans="1:16" x14ac:dyDescent="0.25">
      <c r="G68" s="793"/>
      <c r="I68" s="450"/>
      <c r="J68" s="691"/>
      <c r="K68" s="691"/>
      <c r="L68" s="691"/>
      <c r="M68" s="691"/>
      <c r="N68" s="691"/>
      <c r="O68" s="691"/>
      <c r="P68" s="691"/>
    </row>
    <row r="69" spans="1:16" ht="13.95" customHeight="1" thickBot="1" x14ac:dyDescent="0.3">
      <c r="G69" s="793"/>
      <c r="I69" s="450"/>
      <c r="J69" s="691"/>
      <c r="K69" s="691"/>
      <c r="L69" s="691"/>
      <c r="M69" s="691"/>
      <c r="N69" s="691"/>
      <c r="O69" s="691"/>
      <c r="P69" s="691"/>
    </row>
    <row r="70" spans="1:16" ht="16.2" customHeight="1" thickBot="1" x14ac:dyDescent="0.35">
      <c r="B70" s="1716" t="s">
        <v>109</v>
      </c>
      <c r="C70" s="1686"/>
      <c r="D70" s="1687"/>
      <c r="I70" s="691"/>
      <c r="J70" s="691"/>
      <c r="K70" s="691"/>
      <c r="L70" s="691"/>
      <c r="M70" s="691"/>
      <c r="N70" s="691"/>
      <c r="O70" s="691"/>
      <c r="P70" s="691"/>
    </row>
    <row r="71" spans="1:16" ht="18" customHeight="1" thickTop="1" thickBot="1" x14ac:dyDescent="0.3">
      <c r="B71" s="808">
        <f>+H71*$D$10*C71/100</f>
        <v>137314.79999999999</v>
      </c>
      <c r="C71" s="847">
        <v>7</v>
      </c>
      <c r="D71" s="266" t="s">
        <v>72</v>
      </c>
      <c r="E71" s="249"/>
      <c r="F71" s="250"/>
      <c r="G71" s="251" t="s">
        <v>190</v>
      </c>
      <c r="H71" s="312">
        <f>+RESUMEN!$F$8</f>
        <v>45</v>
      </c>
      <c r="I71" s="848"/>
      <c r="J71" s="691"/>
      <c r="K71" s="691"/>
      <c r="L71" s="691"/>
      <c r="M71" s="691"/>
      <c r="N71" s="691"/>
      <c r="O71" s="691"/>
      <c r="P71" s="691"/>
    </row>
    <row r="72" spans="1:16" ht="15" customHeight="1" thickTop="1" thickBot="1" x14ac:dyDescent="0.3">
      <c r="B72" s="712"/>
      <c r="C72" s="712"/>
      <c r="D72" s="712"/>
      <c r="F72" s="313"/>
      <c r="G72" s="314" t="s">
        <v>1232</v>
      </c>
      <c r="H72" s="315">
        <f>((G67+E79)/($D$10-C74-C75))/(100-C71)*100</f>
        <v>36.765245724999851</v>
      </c>
      <c r="I72" s="848"/>
      <c r="J72" s="691"/>
      <c r="K72" s="691"/>
      <c r="L72" s="691"/>
      <c r="M72" s="691"/>
      <c r="N72" s="691"/>
      <c r="O72" s="691"/>
      <c r="P72" s="691"/>
    </row>
    <row r="73" spans="1:16" ht="16.2" customHeight="1" thickBot="1" x14ac:dyDescent="0.35">
      <c r="B73" s="1716" t="s">
        <v>111</v>
      </c>
      <c r="C73" s="1686"/>
      <c r="D73" s="1687"/>
      <c r="H73" s="849"/>
      <c r="I73" s="850"/>
      <c r="J73" s="691"/>
      <c r="K73" s="691"/>
      <c r="L73" s="691"/>
      <c r="M73" s="691"/>
      <c r="N73" s="691"/>
      <c r="O73" s="691"/>
      <c r="P73" s="691"/>
    </row>
    <row r="74" spans="1:16" x14ac:dyDescent="0.25">
      <c r="B74" s="21" t="s">
        <v>113</v>
      </c>
      <c r="C74" s="352">
        <v>700</v>
      </c>
      <c r="D74" s="266" t="s">
        <v>65</v>
      </c>
      <c r="E74" s="848">
        <f>+C74*H71</f>
        <v>31500</v>
      </c>
      <c r="H74" s="747"/>
      <c r="I74" s="691"/>
      <c r="J74" s="691"/>
      <c r="K74" s="691"/>
      <c r="L74" s="691"/>
      <c r="M74" s="691"/>
      <c r="N74" s="691"/>
      <c r="O74" s="691"/>
      <c r="P74" s="691"/>
    </row>
    <row r="75" spans="1:16" x14ac:dyDescent="0.25">
      <c r="B75" s="19" t="s">
        <v>115</v>
      </c>
      <c r="C75" s="352">
        <v>500</v>
      </c>
      <c r="D75" s="266" t="s">
        <v>65</v>
      </c>
      <c r="E75" s="848">
        <f>+C75*H71</f>
        <v>22500</v>
      </c>
      <c r="H75" s="753"/>
      <c r="I75" s="851"/>
      <c r="J75" s="691"/>
      <c r="K75" s="691"/>
      <c r="L75" s="691"/>
      <c r="M75" s="691"/>
      <c r="N75" s="691"/>
      <c r="O75" s="691"/>
      <c r="P75" s="691"/>
    </row>
    <row r="76" spans="1:16" ht="15" customHeight="1" x14ac:dyDescent="0.25">
      <c r="H76" s="752"/>
      <c r="I76" s="851"/>
      <c r="J76" s="691"/>
      <c r="K76" s="691"/>
      <c r="L76" s="691"/>
      <c r="M76" s="691"/>
      <c r="N76" s="691"/>
      <c r="O76" s="691"/>
      <c r="P76" s="691"/>
    </row>
    <row r="77" spans="1:16" ht="15" customHeight="1" thickBot="1" x14ac:dyDescent="0.3">
      <c r="G77" s="316"/>
      <c r="I77" s="691"/>
      <c r="J77" s="691"/>
      <c r="K77" s="691"/>
      <c r="L77" s="691"/>
      <c r="M77" s="691"/>
      <c r="N77" s="691"/>
      <c r="O77" s="691"/>
      <c r="P77" s="691"/>
    </row>
    <row r="78" spans="1:16" ht="16.2" customHeight="1" thickBot="1" x14ac:dyDescent="0.35">
      <c r="B78" s="1751" t="s">
        <v>143</v>
      </c>
      <c r="C78" s="1686"/>
      <c r="D78" s="1686"/>
      <c r="E78" s="1687"/>
      <c r="F78" s="712"/>
      <c r="G78" s="448" t="s">
        <v>145</v>
      </c>
      <c r="I78" s="691"/>
      <c r="J78" s="691"/>
      <c r="K78" s="691"/>
      <c r="L78" s="691"/>
      <c r="M78" s="691"/>
      <c r="N78" s="691"/>
      <c r="O78" s="691"/>
      <c r="P78" s="691"/>
    </row>
    <row r="79" spans="1:16" x14ac:dyDescent="0.25">
      <c r="B79" s="712"/>
      <c r="C79" s="852">
        <f>+RESUMEN!$D$10</f>
        <v>17</v>
      </c>
      <c r="D79" s="456" t="s">
        <v>144</v>
      </c>
      <c r="E79" s="853">
        <f>+C79*RESUMEN!$F$4</f>
        <v>816000</v>
      </c>
      <c r="F79" s="455" t="s">
        <v>117</v>
      </c>
      <c r="G79" s="854">
        <f>+E79/$D$10</f>
        <v>18.719031014865113</v>
      </c>
      <c r="I79" s="691"/>
      <c r="J79" s="691"/>
      <c r="K79" s="691"/>
      <c r="L79" s="691"/>
      <c r="M79" s="691"/>
      <c r="N79" s="691"/>
      <c r="O79" s="691"/>
      <c r="P79" s="691"/>
    </row>
    <row r="80" spans="1:16" x14ac:dyDescent="0.25">
      <c r="B80" s="712"/>
      <c r="C80" s="712"/>
      <c r="D80" s="80" t="s">
        <v>118</v>
      </c>
      <c r="E80" s="763">
        <f>+E79/$G$6</f>
        <v>544</v>
      </c>
      <c r="H80" s="1"/>
      <c r="I80" s="691"/>
      <c r="J80" s="691"/>
      <c r="K80" s="691"/>
      <c r="L80" s="691"/>
      <c r="M80" s="691"/>
      <c r="N80" s="691"/>
      <c r="O80" s="691"/>
      <c r="P80" s="691"/>
    </row>
    <row r="81" spans="2:16" ht="16.2" customHeight="1" thickBot="1" x14ac:dyDescent="0.3">
      <c r="G81" s="31"/>
      <c r="I81" s="691"/>
      <c r="J81" s="691"/>
      <c r="K81" s="691"/>
      <c r="L81" s="691"/>
      <c r="M81" s="691"/>
      <c r="N81" s="691"/>
      <c r="O81" s="691"/>
      <c r="P81" s="691"/>
    </row>
    <row r="82" spans="2:16" ht="18.600000000000001" customHeight="1" thickTop="1" thickBot="1" x14ac:dyDescent="0.3">
      <c r="B82" s="1690" t="s">
        <v>172</v>
      </c>
      <c r="C82" s="1691"/>
      <c r="D82" s="253">
        <f>+E83/(E80+E67)</f>
        <v>0.22137414818282605</v>
      </c>
      <c r="E82" s="765">
        <f>+H71*$D$10*(100-C71)/100-G67-E79-(C74+C75)*H71</f>
        <v>320871.56400000001</v>
      </c>
      <c r="F82" s="32" t="s">
        <v>117</v>
      </c>
      <c r="G82" s="830">
        <f>+E82/$D$10</f>
        <v>7.3607901449807311</v>
      </c>
      <c r="H82" s="33" t="s">
        <v>77</v>
      </c>
      <c r="I82" s="691"/>
      <c r="J82" s="691"/>
      <c r="K82" s="691"/>
      <c r="L82" s="691"/>
      <c r="M82" s="691"/>
      <c r="N82" s="691"/>
      <c r="O82" s="691"/>
      <c r="P82" s="691"/>
    </row>
    <row r="83" spans="2:16" ht="16.2" customHeight="1" thickTop="1" x14ac:dyDescent="0.25">
      <c r="D83" s="37" t="s">
        <v>118</v>
      </c>
      <c r="E83" s="746">
        <f>+E82/$G$6</f>
        <v>213.914376</v>
      </c>
      <c r="H83" s="82"/>
      <c r="I83" s="691"/>
      <c r="J83" s="691"/>
      <c r="K83" s="691"/>
      <c r="L83" s="691"/>
      <c r="M83" s="691"/>
      <c r="N83" s="691"/>
      <c r="O83" s="691"/>
      <c r="P83" s="691"/>
    </row>
    <row r="84" spans="2:16" ht="15.6" customHeight="1" x14ac:dyDescent="0.25">
      <c r="G84" s="31"/>
      <c r="H84" s="31"/>
      <c r="I84" s="691"/>
      <c r="J84" s="691"/>
      <c r="K84" s="691"/>
      <c r="L84" s="691"/>
      <c r="M84" s="691"/>
      <c r="N84" s="691"/>
      <c r="O84" s="691"/>
      <c r="P84" s="691"/>
    </row>
    <row r="85" spans="2:16" ht="15.6" customHeight="1" x14ac:dyDescent="0.25">
      <c r="G85" s="31"/>
      <c r="H85" s="31"/>
      <c r="I85" s="691"/>
      <c r="J85" s="691"/>
      <c r="K85" s="691"/>
      <c r="L85" s="691"/>
      <c r="M85" s="691"/>
      <c r="N85" s="691"/>
      <c r="O85" s="691"/>
      <c r="P85" s="691"/>
    </row>
    <row r="86" spans="2:16" ht="15.6" customHeight="1" x14ac:dyDescent="0.25">
      <c r="G86" s="31"/>
      <c r="H86" s="31"/>
      <c r="I86" s="691"/>
      <c r="J86" s="691"/>
      <c r="K86" s="691"/>
      <c r="L86" s="691"/>
      <c r="M86" s="691"/>
      <c r="N86" s="691"/>
      <c r="O86" s="691"/>
      <c r="P86" s="691"/>
    </row>
    <row r="87" spans="2:16" x14ac:dyDescent="0.25">
      <c r="I87" s="691"/>
      <c r="J87" s="691"/>
      <c r="K87" s="691"/>
      <c r="L87" s="691"/>
      <c r="M87" s="691"/>
      <c r="N87" s="691"/>
      <c r="O87" s="691"/>
      <c r="P87" s="691"/>
    </row>
    <row r="88" spans="2:16" x14ac:dyDescent="0.25">
      <c r="I88" s="691"/>
      <c r="J88" s="691"/>
      <c r="K88" s="691"/>
      <c r="L88" s="691"/>
      <c r="M88" s="691"/>
      <c r="N88" s="691"/>
      <c r="O88" s="691"/>
      <c r="P88" s="691"/>
    </row>
    <row r="89" spans="2:16" x14ac:dyDescent="0.25">
      <c r="I89" s="691"/>
      <c r="J89" s="691"/>
      <c r="K89" s="691"/>
      <c r="L89" s="691"/>
      <c r="M89" s="691"/>
      <c r="N89" s="691"/>
      <c r="O89" s="691"/>
      <c r="P89" s="691"/>
    </row>
  </sheetData>
  <sheetProtection algorithmName="SHA-512" hashValue="0sjVrl25tYhtzlPG4wY6fUetUTrSO2izh9t19IVrVrgQVLmgOtdrzgXhHtlmBhu4vv2wJurfZopzM8fIIudycg==" saltValue="TcR5fj1HGKi/IXC6UogAnA==" spinCount="100000" sheet="1" objects="1" scenarios="1"/>
  <mergeCells count="7">
    <mergeCell ref="B1:H2"/>
    <mergeCell ref="B7:D7"/>
    <mergeCell ref="C14:D14"/>
    <mergeCell ref="B70:D70"/>
    <mergeCell ref="B82:C82"/>
    <mergeCell ref="B73:D73"/>
    <mergeCell ref="B78:E78"/>
  </mergeCells>
  <printOptions horizontalCentered="1" verticalCentered="1"/>
  <pageMargins left="0.70866141732283472" right="0.70866141732283472" top="0.74803149606299213" bottom="0.74803149606299213" header="0.31496062992125978" footer="0.31496062992125978"/>
  <pageSetup paperSize="9" scale="77" orientation="portrait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Seleccionar artículo correcto" promptTitle="Seleccionar artículo" xr:uid="{8235CF2D-9C6A-4478-9E36-21F90D1A6A86}">
          <x14:formula1>
            <xm:f>Valores!$C$6:$C$123</xm:f>
          </x14:formula1>
          <xm:sqref>B56:B59 B53:B54 B47:B50 B15:B44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Hoja6">
    <pageSetUpPr fitToPage="1"/>
  </sheetPr>
  <dimension ref="B1:W66"/>
  <sheetViews>
    <sheetView showGridLines="0" zoomScaleNormal="100" workbookViewId="0">
      <pane ySplit="2" topLeftCell="A24" activePane="bottomLeft" state="frozen"/>
      <selection activeCell="K31" sqref="K31"/>
      <selection pane="bottomLeft" activeCell="C31" sqref="C31"/>
    </sheetView>
  </sheetViews>
  <sheetFormatPr baseColWidth="10" defaultColWidth="11.44140625" defaultRowHeight="13.2" x14ac:dyDescent="0.25"/>
  <cols>
    <col min="1" max="1" width="2.5546875" style="261" customWidth="1"/>
    <col min="2" max="2" width="46" style="261" customWidth="1"/>
    <col min="3" max="3" width="8.109375" style="261" customWidth="1"/>
    <col min="4" max="4" width="9.6640625" style="261" customWidth="1"/>
    <col min="5" max="5" width="11.109375" style="261" bestFit="1" customWidth="1"/>
    <col min="6" max="6" width="8.6640625" style="261" customWidth="1"/>
    <col min="7" max="7" width="13.77734375" style="261" customWidth="1"/>
    <col min="8" max="8" width="8.6640625" style="261" customWidth="1"/>
    <col min="9" max="11" width="11.44140625" style="261" customWidth="1"/>
    <col min="12" max="16384" width="11.44140625" style="261"/>
  </cols>
  <sheetData>
    <row r="1" spans="2:23" ht="12.75" customHeight="1" x14ac:dyDescent="0.25">
      <c r="B1" s="1679" t="s">
        <v>185</v>
      </c>
      <c r="C1" s="1680"/>
      <c r="D1" s="1680"/>
      <c r="E1" s="1680"/>
      <c r="F1" s="1680"/>
      <c r="G1" s="1680"/>
      <c r="H1" s="1681"/>
    </row>
    <row r="2" spans="2:23" ht="12.75" customHeight="1" thickBot="1" x14ac:dyDescent="0.3">
      <c r="B2" s="1682"/>
      <c r="C2" s="1683"/>
      <c r="D2" s="1683"/>
      <c r="E2" s="1683"/>
      <c r="F2" s="1683"/>
      <c r="G2" s="1683"/>
      <c r="H2" s="1684"/>
    </row>
    <row r="3" spans="2:23" ht="12.75" customHeight="1" x14ac:dyDescent="0.25">
      <c r="B3" s="114"/>
      <c r="C3" s="114"/>
      <c r="D3" s="114"/>
      <c r="E3" s="114"/>
      <c r="F3" s="114"/>
      <c r="G3" s="114"/>
    </row>
    <row r="4" spans="2:23" ht="12.75" customHeight="1" x14ac:dyDescent="0.25">
      <c r="B4" s="114"/>
      <c r="C4" s="114"/>
      <c r="D4" s="114"/>
      <c r="E4" s="114"/>
      <c r="F4" s="114"/>
      <c r="G4" s="114"/>
    </row>
    <row r="5" spans="2:23" ht="13.95" customHeight="1" x14ac:dyDescent="0.25">
      <c r="B5" s="123" t="s">
        <v>64</v>
      </c>
      <c r="C5" s="124"/>
      <c r="D5" s="796">
        <f>+RESUMEN!G4</f>
        <v>31500</v>
      </c>
      <c r="E5" s="125" t="s">
        <v>65</v>
      </c>
      <c r="F5" s="126"/>
      <c r="G5" s="300" t="s">
        <v>186</v>
      </c>
    </row>
    <row r="6" spans="2:23" ht="13.95" customHeight="1" thickBot="1" x14ac:dyDescent="0.3">
      <c r="G6" s="457">
        <f>+RESUMEN!Q15</f>
        <v>1500</v>
      </c>
      <c r="H6" s="6" t="s">
        <v>187</v>
      </c>
    </row>
    <row r="7" spans="2:23" ht="17.399999999999999" customHeight="1" thickBot="1" x14ac:dyDescent="0.3">
      <c r="B7" s="1685" t="s">
        <v>68</v>
      </c>
      <c r="C7" s="1686"/>
      <c r="D7" s="1687"/>
    </row>
    <row r="8" spans="2:23" x14ac:dyDescent="0.25">
      <c r="B8" s="187" t="s">
        <v>70</v>
      </c>
      <c r="C8" s="133"/>
      <c r="D8" s="133">
        <f>+RESUMEN!Q14</f>
        <v>3400</v>
      </c>
      <c r="E8" s="134" t="s">
        <v>65</v>
      </c>
      <c r="F8" s="135"/>
    </row>
    <row r="9" spans="2:23" x14ac:dyDescent="0.25">
      <c r="B9" s="187" t="s">
        <v>71</v>
      </c>
      <c r="C9" s="136"/>
      <c r="D9" s="1656">
        <v>2.1000000000000001E-2</v>
      </c>
      <c r="E9" s="232" t="s">
        <v>72</v>
      </c>
    </row>
    <row r="10" spans="2:23" x14ac:dyDescent="0.25">
      <c r="B10" s="137" t="s">
        <v>73</v>
      </c>
      <c r="C10" s="138"/>
      <c r="D10" s="138">
        <f>+D5*(1-D9)-D8</f>
        <v>27438.5</v>
      </c>
      <c r="E10" s="134" t="s">
        <v>65</v>
      </c>
      <c r="F10" s="139"/>
    </row>
    <row r="12" spans="2:23" ht="13.95" customHeight="1" thickBot="1" x14ac:dyDescent="0.3"/>
    <row r="13" spans="2:23" ht="17.399999999999999" customHeight="1" thickBot="1" x14ac:dyDescent="0.3">
      <c r="B13" s="53" t="s">
        <v>74</v>
      </c>
      <c r="C13" s="703"/>
      <c r="D13" s="704"/>
      <c r="E13" s="141" t="s">
        <v>75</v>
      </c>
      <c r="F13" s="142"/>
      <c r="G13" s="320" t="s">
        <v>76</v>
      </c>
      <c r="H13" s="146" t="s">
        <v>77</v>
      </c>
    </row>
    <row r="14" spans="2:23" ht="13.95" customHeight="1" thickBot="1" x14ac:dyDescent="0.3">
      <c r="B14" s="147" t="s">
        <v>78</v>
      </c>
      <c r="C14" s="1689" t="s">
        <v>79</v>
      </c>
      <c r="D14" s="1681"/>
      <c r="E14" s="149" t="s">
        <v>188</v>
      </c>
      <c r="F14" s="150" t="s">
        <v>82</v>
      </c>
      <c r="G14" s="151" t="s">
        <v>188</v>
      </c>
      <c r="H14" s="356" t="s">
        <v>188</v>
      </c>
    </row>
    <row r="15" spans="2:23" ht="13.8" thickBot="1" x14ac:dyDescent="0.3">
      <c r="B15" s="1653" t="s">
        <v>1095</v>
      </c>
      <c r="C15" s="1520">
        <v>1</v>
      </c>
      <c r="D15" s="1360" t="str">
        <f>IFERROR(INDEX(Valores!E:E,MATCH(B15,Valores!C:C,0),1),"")</f>
        <v>Lts/Ha.</v>
      </c>
      <c r="E15" s="1361">
        <f>SUMIF(Valores!C:C,B15,Valores!F:F)</f>
        <v>3.5</v>
      </c>
      <c r="F15" s="1362" t="str">
        <f>IFERROR(INDEX(Valores!G:G,MATCH(B15,Valores!C:C,0),1),"")</f>
        <v>U$S/Lts.</v>
      </c>
      <c r="G15" s="1356">
        <f>C15*E15*$G$6</f>
        <v>5250</v>
      </c>
      <c r="H15" s="798">
        <f t="shared" ref="H15:H27" si="0">G15/$D$10</f>
        <v>0.19133698999580881</v>
      </c>
      <c r="J15" s="627"/>
      <c r="V15" s="752" t="e">
        <f>+Valores!#REF!</f>
        <v>#REF!</v>
      </c>
      <c r="W15" s="799" t="e">
        <f>+E15/V15-1</f>
        <v>#REF!</v>
      </c>
    </row>
    <row r="16" spans="2:23" ht="13.8" thickBot="1" x14ac:dyDescent="0.3">
      <c r="B16" s="1654" t="s">
        <v>1097</v>
      </c>
      <c r="C16" s="1521">
        <v>0.05</v>
      </c>
      <c r="D16" s="1364" t="str">
        <f>IFERROR(INDEX(Valores!E:E,MATCH(B16,Valores!C:C,0),1),"")</f>
        <v>Lts/Ha.</v>
      </c>
      <c r="E16" s="1365">
        <f>SUMIF(Valores!C:C,B16,Valores!F:F)</f>
        <v>45</v>
      </c>
      <c r="F16" s="1366" t="str">
        <f>IFERROR(INDEX(Valores!G:G,MATCH(B16,Valores!C:C,0),1),"")</f>
        <v>U$S/Lts.</v>
      </c>
      <c r="G16" s="1356">
        <f t="shared" ref="G16:G17" si="1">C16*E16*$G$6</f>
        <v>3375</v>
      </c>
      <c r="H16" s="798">
        <f t="shared" si="0"/>
        <v>0.12300235071159138</v>
      </c>
      <c r="J16" s="627"/>
      <c r="V16" s="752"/>
      <c r="W16" s="799"/>
    </row>
    <row r="17" spans="2:10" x14ac:dyDescent="0.25">
      <c r="B17" s="1654" t="s">
        <v>1198</v>
      </c>
      <c r="C17" s="1521">
        <v>2.2000000000000002</v>
      </c>
      <c r="D17" s="1364" t="str">
        <f>IFERROR(INDEX(Valores!E:E,MATCH(B17,Valores!C:C,0),1),"")</f>
        <v>Lts/Ha.</v>
      </c>
      <c r="E17" s="1365">
        <f>SUMIF(Valores!C:C,B17,Valores!F:F)</f>
        <v>4.3</v>
      </c>
      <c r="F17" s="1366" t="str">
        <f>IFERROR(INDEX(Valores!G:G,MATCH(B17,Valores!C:C,0),1),"")</f>
        <v>U$S/Lts.</v>
      </c>
      <c r="G17" s="1356">
        <f t="shared" si="1"/>
        <v>14190.000000000002</v>
      </c>
      <c r="H17" s="798">
        <f t="shared" si="0"/>
        <v>0.51715655010295758</v>
      </c>
      <c r="J17" s="627"/>
    </row>
    <row r="18" spans="2:10" x14ac:dyDescent="0.25">
      <c r="B18" s="1654" t="s">
        <v>1186</v>
      </c>
      <c r="C18" s="1521">
        <v>15</v>
      </c>
      <c r="D18" s="1364" t="str">
        <f>IFERROR(INDEX(Valores!E:E,MATCH(B18,Valores!C:C,0),1),"")</f>
        <v>grs./Ha.</v>
      </c>
      <c r="E18" s="1365">
        <f>SUMIF(Valores!C:C,B18,Valores!F:F)</f>
        <v>368</v>
      </c>
      <c r="F18" s="1366" t="str">
        <f>IFERROR(INDEX(Valores!G:G,MATCH(B18,Valores!C:C,0),1),"")</f>
        <v>U$S/Kg.</v>
      </c>
      <c r="G18" s="1357">
        <f>C18*(E18/1000)*G6</f>
        <v>8280</v>
      </c>
      <c r="H18" s="798">
        <f t="shared" si="0"/>
        <v>0.30176576707910419</v>
      </c>
      <c r="J18" s="627"/>
    </row>
    <row r="19" spans="2:10" x14ac:dyDescent="0.25">
      <c r="B19" s="1654" t="s">
        <v>1197</v>
      </c>
      <c r="C19" s="1521">
        <v>1</v>
      </c>
      <c r="D19" s="1364" t="str">
        <f>IFERROR(INDEX(Valores!E:E,MATCH(B19,Valores!C:C,0),1),"")</f>
        <v>Lts/Ha.</v>
      </c>
      <c r="E19" s="1365">
        <f>SUMIF(Valores!C:C,B19,Valores!F:F)</f>
        <v>4.6500000000000004</v>
      </c>
      <c r="F19" s="1366" t="str">
        <f>IFERROR(INDEX(Valores!G:G,MATCH(B19,Valores!C:C,0),1),"")</f>
        <v>U$S/Lts.</v>
      </c>
      <c r="G19" s="1357">
        <f>C19*E19*$G$6</f>
        <v>6975.0000000000009</v>
      </c>
      <c r="H19" s="798">
        <f t="shared" si="0"/>
        <v>0.25420485813728888</v>
      </c>
      <c r="J19" s="627"/>
    </row>
    <row r="20" spans="2:10" x14ac:dyDescent="0.25">
      <c r="B20" s="1654" t="s">
        <v>1199</v>
      </c>
      <c r="C20" s="1521">
        <v>0</v>
      </c>
      <c r="D20" s="1364" t="str">
        <f>IFERROR(INDEX(Valores!E:E,MATCH(B20,Valores!C:C,0),1),"")</f>
        <v>Lts/Ha.</v>
      </c>
      <c r="E20" s="1365">
        <f>SUMIF(Valores!C:C,B20,Valores!F:F)</f>
        <v>7.2</v>
      </c>
      <c r="F20" s="1366" t="str">
        <f>IFERROR(INDEX(Valores!G:G,MATCH(B20,Valores!C:C,0),1),"")</f>
        <v>U$S/Lts.</v>
      </c>
      <c r="G20" s="1357">
        <f>C20*(E20)*$G$6</f>
        <v>0</v>
      </c>
      <c r="H20" s="798">
        <f t="shared" si="0"/>
        <v>0</v>
      </c>
      <c r="J20" s="627"/>
    </row>
    <row r="21" spans="2:10" x14ac:dyDescent="0.25">
      <c r="B21" s="1654" t="s">
        <v>1104</v>
      </c>
      <c r="C21" s="1521">
        <v>0.3</v>
      </c>
      <c r="D21" s="1364" t="str">
        <f>IFERROR(INDEX(Valores!E:E,MATCH(B21,Valores!C:C,0),1),"")</f>
        <v>Lts/Ha.</v>
      </c>
      <c r="E21" s="1365">
        <f>SUMIF(Valores!C:C,B21,Valores!F:F)</f>
        <v>42</v>
      </c>
      <c r="F21" s="1366" t="str">
        <f>IFERROR(INDEX(Valores!G:G,MATCH(B21,Valores!C:C,0),1),"")</f>
        <v>U$S/Lts.</v>
      </c>
      <c r="G21" s="1357">
        <f>C21*(E21)*G6</f>
        <v>18900</v>
      </c>
      <c r="H21" s="798">
        <f t="shared" si="0"/>
        <v>0.68881316398491166</v>
      </c>
      <c r="J21" s="627"/>
    </row>
    <row r="22" spans="2:10" x14ac:dyDescent="0.25">
      <c r="B22" s="1654" t="s">
        <v>1113</v>
      </c>
      <c r="C22" s="1521">
        <v>0.6</v>
      </c>
      <c r="D22" s="1364" t="str">
        <f>IFERROR(INDEX(Valores!E:E,MATCH(B22,Valores!C:C,0),1),"")</f>
        <v>Lts/Ha.</v>
      </c>
      <c r="E22" s="1365">
        <f>SUMIF(Valores!C:C,B22,Valores!F:F)</f>
        <v>23</v>
      </c>
      <c r="F22" s="1366" t="str">
        <f>IFERROR(INDEX(Valores!G:G,MATCH(B22,Valores!C:C,0),1),"")</f>
        <v>U$S/Lts.</v>
      </c>
      <c r="G22" s="1357">
        <f t="shared" ref="G22:G27" si="2">C22*(E22)*G$6</f>
        <v>20700</v>
      </c>
      <c r="H22" s="798">
        <f t="shared" si="0"/>
        <v>0.75441441769776041</v>
      </c>
      <c r="J22" s="627"/>
    </row>
    <row r="23" spans="2:10" x14ac:dyDescent="0.25">
      <c r="B23" s="1654" t="s">
        <v>1100</v>
      </c>
      <c r="C23" s="1521">
        <v>0</v>
      </c>
      <c r="D23" s="1364" t="str">
        <f>IFERROR(INDEX(Valores!E:E,MATCH(B23,Valores!C:C,0),1),"")</f>
        <v>Lts/Ha.</v>
      </c>
      <c r="E23" s="1365">
        <f>SUMIF(Valores!C:C,B23,Valores!F:F)</f>
        <v>42</v>
      </c>
      <c r="F23" s="1366" t="str">
        <f>IFERROR(INDEX(Valores!G:G,MATCH(B23,Valores!C:C,0),1),"")</f>
        <v>U$S/Lts.</v>
      </c>
      <c r="G23" s="1357">
        <f t="shared" si="2"/>
        <v>0</v>
      </c>
      <c r="H23" s="798">
        <f t="shared" si="0"/>
        <v>0</v>
      </c>
      <c r="J23" s="627"/>
    </row>
    <row r="24" spans="2:10" x14ac:dyDescent="0.25">
      <c r="B24" s="1654" t="s">
        <v>1106</v>
      </c>
      <c r="C24" s="1521">
        <v>0.2</v>
      </c>
      <c r="D24" s="1364" t="str">
        <f>IFERROR(INDEX(Valores!E:E,MATCH(B24,Valores!C:C,0),1),"")</f>
        <v>Dosis/Ha.</v>
      </c>
      <c r="E24" s="1365">
        <f>SUMIF(Valores!C:C,B24,Valores!F:F)</f>
        <v>5.7760000000000007</v>
      </c>
      <c r="F24" s="1366" t="str">
        <f>IFERROR(INDEX(Valores!G:G,MATCH(B24,Valores!C:C,0),1),"")</f>
        <v>U$S/Dosis</v>
      </c>
      <c r="G24" s="1357">
        <f t="shared" si="2"/>
        <v>1732.8000000000004</v>
      </c>
      <c r="H24" s="798">
        <f t="shared" si="0"/>
        <v>6.3152140240902391E-2</v>
      </c>
      <c r="J24" s="627"/>
    </row>
    <row r="25" spans="2:10" x14ac:dyDescent="0.25">
      <c r="B25" s="1654"/>
      <c r="C25" s="1521"/>
      <c r="D25" s="1364" t="str">
        <f>IFERROR(INDEX(Valores!E:E,MATCH(B25,Valores!C:C,0),1),"")</f>
        <v/>
      </c>
      <c r="E25" s="1365">
        <f>SUMIF(Valores!C:C,B25,Valores!F:F)</f>
        <v>0</v>
      </c>
      <c r="F25" s="1366" t="str">
        <f>IFERROR(INDEX(Valores!G:G,MATCH(B25,Valores!C:C,0),1),"")</f>
        <v/>
      </c>
      <c r="G25" s="1357">
        <f t="shared" si="2"/>
        <v>0</v>
      </c>
      <c r="H25" s="798">
        <f t="shared" si="0"/>
        <v>0</v>
      </c>
      <c r="J25" s="627"/>
    </row>
    <row r="26" spans="2:10" x14ac:dyDescent="0.25">
      <c r="B26" s="1658"/>
      <c r="C26" s="1521"/>
      <c r="D26" s="1364" t="str">
        <f>IFERROR(INDEX(Valores!E:E,MATCH(B26,Valores!C:C,0),1),"")</f>
        <v/>
      </c>
      <c r="E26" s="1365">
        <f>SUMIF(Valores!C:C,B26,Valores!F:F)</f>
        <v>0</v>
      </c>
      <c r="F26" s="1366" t="str">
        <f>IFERROR(INDEX(Valores!G:G,MATCH(B26,Valores!C:C,0),1),"")</f>
        <v/>
      </c>
      <c r="G26" s="1357">
        <f t="shared" si="2"/>
        <v>0</v>
      </c>
      <c r="H26" s="798">
        <f t="shared" si="0"/>
        <v>0</v>
      </c>
      <c r="J26" s="627"/>
    </row>
    <row r="27" spans="2:10" ht="13.8" thickBot="1" x14ac:dyDescent="0.3">
      <c r="B27" s="1659"/>
      <c r="C27" s="1660"/>
      <c r="D27" s="1367" t="str">
        <f>IFERROR(INDEX(Valores!E:E,MATCH(B27,Valores!C:C,0),1),"")</f>
        <v/>
      </c>
      <c r="E27" s="1368">
        <f>SUMIF(Valores!C:C,B27,Valores!F:F)</f>
        <v>0</v>
      </c>
      <c r="F27" s="1369" t="str">
        <f>IFERROR(INDEX(Valores!G:G,MATCH(B27,Valores!C:C,0),1),"")</f>
        <v/>
      </c>
      <c r="G27" s="1357">
        <f t="shared" si="2"/>
        <v>0</v>
      </c>
      <c r="H27" s="798">
        <f t="shared" si="0"/>
        <v>0</v>
      </c>
      <c r="J27" s="627"/>
    </row>
    <row r="28" spans="2:10" ht="14.4" customHeight="1" thickBot="1" x14ac:dyDescent="0.3">
      <c r="B28" s="1353" t="s">
        <v>94</v>
      </c>
      <c r="C28" s="1354"/>
      <c r="D28" s="1355"/>
      <c r="E28" s="1358">
        <f>+G28/$G$6</f>
        <v>52.935200000000002</v>
      </c>
      <c r="F28" s="1359" t="s">
        <v>95</v>
      </c>
      <c r="G28" s="801">
        <f>SUM(G15:G27)</f>
        <v>79402.8</v>
      </c>
      <c r="H28" s="802">
        <f>SUM(H15:H27)</f>
        <v>2.8938462379503256</v>
      </c>
    </row>
    <row r="29" spans="2:10" x14ac:dyDescent="0.25">
      <c r="B29" s="1158"/>
      <c r="C29" s="731"/>
      <c r="D29" s="182"/>
      <c r="E29" s="733"/>
      <c r="F29" s="677"/>
      <c r="G29" s="734"/>
      <c r="H29" s="803"/>
    </row>
    <row r="30" spans="2:10" x14ac:dyDescent="0.25">
      <c r="B30" s="1654" t="s">
        <v>1091</v>
      </c>
      <c r="C30" s="1528">
        <v>100</v>
      </c>
      <c r="D30" s="1364" t="str">
        <f>IFERROR(INDEX(Valores!E:E,MATCH(B30,Valores!C:C,0),1),"")</f>
        <v>Kg/Ha.</v>
      </c>
      <c r="E30" s="1365">
        <f>SUMIF(Valores!C:C,B30,Valores!F:F)</f>
        <v>1080</v>
      </c>
      <c r="F30" s="1366" t="str">
        <f>IFERROR(INDEX(Valores!G:G,MATCH(B30,Valores!C:C,0),1),"")</f>
        <v>U$S/ton.</v>
      </c>
      <c r="G30" s="800">
        <f>C30*(E30/1000)*G6</f>
        <v>162000</v>
      </c>
      <c r="H30" s="798">
        <f>G30/$D$10</f>
        <v>5.9041128341563862</v>
      </c>
    </row>
    <row r="31" spans="2:10" x14ac:dyDescent="0.25">
      <c r="B31" s="1654" t="s">
        <v>1093</v>
      </c>
      <c r="C31" s="1528">
        <v>200</v>
      </c>
      <c r="D31" s="1364" t="str">
        <f>IFERROR(INDEX(Valores!E:E,MATCH(B31,Valores!C:C,0),1),"")</f>
        <v>Kg/Ha.</v>
      </c>
      <c r="E31" s="1365">
        <f>SUMIF(Valores!C:C,B31,Valores!F:F)</f>
        <v>970</v>
      </c>
      <c r="F31" s="1366" t="str">
        <f>IFERROR(INDEX(Valores!G:G,MATCH(B31,Valores!C:C,0),1),"")</f>
        <v>U$S/ton.</v>
      </c>
      <c r="G31" s="800">
        <f>C31*(E31/1000)*G6</f>
        <v>291000</v>
      </c>
      <c r="H31" s="798">
        <f>G31/$D$10</f>
        <v>10.605536016910545</v>
      </c>
    </row>
    <row r="32" spans="2:10" x14ac:dyDescent="0.25">
      <c r="B32" s="1654"/>
      <c r="C32" s="1661"/>
      <c r="D32" s="1364" t="str">
        <f>IFERROR(INDEX(Valores!E:E,MATCH(B32,Valores!C:C,0),1),"")</f>
        <v/>
      </c>
      <c r="E32" s="1365">
        <f>SUMIF(Valores!C:C,B32,Valores!F:F)</f>
        <v>0</v>
      </c>
      <c r="F32" s="1366" t="str">
        <f>IFERROR(INDEX(Valores!G:G,MATCH(B32,Valores!C:C,0),1),"")</f>
        <v/>
      </c>
      <c r="G32" s="800">
        <f>C32*(E32/1000)*G6</f>
        <v>0</v>
      </c>
      <c r="H32" s="798">
        <f>G32/$D$10</f>
        <v>0</v>
      </c>
    </row>
    <row r="33" spans="2:10" x14ac:dyDescent="0.25">
      <c r="B33" s="1654"/>
      <c r="C33" s="1661">
        <v>0</v>
      </c>
      <c r="D33" s="1364" t="str">
        <f>IFERROR(INDEX(Valores!E:E,MATCH(B33,Valores!C:C,0),1),"")</f>
        <v/>
      </c>
      <c r="E33" s="1365">
        <f>SUMIF(Valores!C:C,B33,Valores!F:F)</f>
        <v>0</v>
      </c>
      <c r="F33" s="1366" t="str">
        <f>IFERROR(INDEX(Valores!G:G,MATCH(B33,Valores!C:C,0),1),"")</f>
        <v/>
      </c>
      <c r="G33" s="800">
        <f>C33*(E33/1000)*G6</f>
        <v>0</v>
      </c>
      <c r="H33" s="798">
        <f>G33/$D$10</f>
        <v>0</v>
      </c>
    </row>
    <row r="34" spans="2:10" ht="14.4" customHeight="1" thickBot="1" x14ac:dyDescent="0.3">
      <c r="B34" s="1442" t="s">
        <v>100</v>
      </c>
      <c r="C34" s="1628"/>
      <c r="D34" s="1629"/>
      <c r="E34" s="1630">
        <f>+G34/$G$6</f>
        <v>302</v>
      </c>
      <c r="F34" s="1631" t="s">
        <v>95</v>
      </c>
      <c r="G34" s="1632">
        <f>SUM(G30:G33)</f>
        <v>453000</v>
      </c>
      <c r="H34" s="1451">
        <f>SUM(H30:H33)</f>
        <v>16.509648851066931</v>
      </c>
    </row>
    <row r="35" spans="2:10" x14ac:dyDescent="0.25">
      <c r="B35" s="157"/>
      <c r="C35" s="1564"/>
      <c r="D35" s="1564"/>
      <c r="E35" s="1565"/>
      <c r="F35" s="1566"/>
      <c r="G35" s="1635"/>
      <c r="H35" s="856"/>
    </row>
    <row r="36" spans="2:10" ht="14.4" customHeight="1" x14ac:dyDescent="0.25">
      <c r="B36" s="1654" t="s">
        <v>36</v>
      </c>
      <c r="C36" s="1634">
        <v>3</v>
      </c>
      <c r="D36" s="1377" t="str">
        <f>IFERROR(INDEX(Valores!E:E,MATCH(B36,Valores!C:C,0),1),"")</f>
        <v>bls./Ha.</v>
      </c>
      <c r="E36" s="1378">
        <f>SUMIF(Valores!C:C,B36,Valores!F:F)</f>
        <v>17</v>
      </c>
      <c r="F36" s="1456" t="str">
        <f>IFERROR(INDEX(Valores!G:G,MATCH(B36,Valores!C:C,0),1),"")</f>
        <v>U$S/bls.</v>
      </c>
      <c r="G36" s="1557">
        <f>E36*G6*C36</f>
        <v>76500</v>
      </c>
      <c r="H36" s="1558">
        <f>G36/$D$10</f>
        <v>2.7880532827960711</v>
      </c>
      <c r="J36" s="627"/>
    </row>
    <row r="37" spans="2:10" ht="14.4" customHeight="1" x14ac:dyDescent="0.25">
      <c r="B37" s="1654"/>
      <c r="C37" s="1634"/>
      <c r="D37" s="1377" t="str">
        <f>IFERROR(INDEX(Valores!E:E,MATCH(B37,Valores!C:C,0),1),"")</f>
        <v/>
      </c>
      <c r="E37" s="1378">
        <f>SUMIF(Valores!C:C,B37,Valores!F:F)</f>
        <v>0</v>
      </c>
      <c r="F37" s="1456" t="str">
        <f>IFERROR(INDEX(Valores!G:G,MATCH(B37,Valores!C:C,0),1),"")</f>
        <v/>
      </c>
      <c r="G37" s="1557">
        <f>E37*G7*C37</f>
        <v>0</v>
      </c>
      <c r="H37" s="1558">
        <f>G37/$D$10</f>
        <v>0</v>
      </c>
      <c r="J37" s="627"/>
    </row>
    <row r="38" spans="2:10" ht="14.4" thickBot="1" x14ac:dyDescent="0.3">
      <c r="B38" s="65" t="s">
        <v>1212</v>
      </c>
      <c r="C38" s="1636"/>
      <c r="D38" s="1636"/>
      <c r="E38" s="1637">
        <f>+G38/$G$6</f>
        <v>51</v>
      </c>
      <c r="F38" s="1638" t="s">
        <v>95</v>
      </c>
      <c r="G38" s="1611">
        <f>SUM(G35:G37)</f>
        <v>76500</v>
      </c>
      <c r="H38" s="1611">
        <f>SUM(H35:H37)</f>
        <v>2.7880532827960711</v>
      </c>
    </row>
    <row r="39" spans="2:10" x14ac:dyDescent="0.25">
      <c r="B39" s="1655" t="s">
        <v>53</v>
      </c>
      <c r="C39" s="1662">
        <v>1</v>
      </c>
      <c r="D39" s="1416" t="str">
        <f>IFERROR(INDEX(Valores!E:E,MATCH(B39,Valores!C:C,0),1),"")</f>
        <v>Siembra</v>
      </c>
      <c r="E39" s="1422">
        <f>SUMIF(Valores!C:C,B39,Valores!F:F)</f>
        <v>55</v>
      </c>
      <c r="F39" s="1403" t="str">
        <f>IFERROR(INDEX(Valores!G:G,MATCH(B39,Valores!C:C,0),1),"")</f>
        <v>U$S/Ha.</v>
      </c>
      <c r="G39" s="1633">
        <f>C39*E39*$G$6</f>
        <v>82500</v>
      </c>
      <c r="H39" s="803">
        <f>G39/$D$10</f>
        <v>3.0067241285055668</v>
      </c>
    </row>
    <row r="40" spans="2:10" x14ac:dyDescent="0.25">
      <c r="B40" s="1654" t="s">
        <v>47</v>
      </c>
      <c r="C40" s="1634">
        <v>0</v>
      </c>
      <c r="D40" s="1364" t="str">
        <f>IFERROR(INDEX(Valores!E:E,MATCH(B40,Valores!C:C,0),1),"")</f>
        <v>Aplicaciones</v>
      </c>
      <c r="E40" s="1365">
        <f>SUMIF(Valores!C:C,B40,Valores!F:F)</f>
        <v>14</v>
      </c>
      <c r="F40" s="1366" t="str">
        <f>IFERROR(INDEX(Valores!G:G,MATCH(B40,Valores!C:C,0),1),"")</f>
        <v>U$S/Ha.</v>
      </c>
      <c r="G40" s="800">
        <f>C40*E40*$G$6</f>
        <v>0</v>
      </c>
      <c r="H40" s="798">
        <f>G40/$D$10</f>
        <v>0</v>
      </c>
    </row>
    <row r="41" spans="2:10" x14ac:dyDescent="0.25">
      <c r="B41" s="1654" t="s">
        <v>48</v>
      </c>
      <c r="C41" s="1634">
        <v>2</v>
      </c>
      <c r="D41" s="1364" t="str">
        <f>IFERROR(INDEX(Valores!E:E,MATCH(B41,Valores!C:C,0),1),"")</f>
        <v>Aplicaciones</v>
      </c>
      <c r="E41" s="1365">
        <f>SUMIF(Valores!C:C,B41,Valores!F:F)</f>
        <v>8</v>
      </c>
      <c r="F41" s="1366" t="str">
        <f>IFERROR(INDEX(Valores!G:G,MATCH(B41,Valores!C:C,0),1),"")</f>
        <v>U$S/Ha.</v>
      </c>
      <c r="G41" s="800">
        <f t="shared" ref="G41:G42" si="3">C41*E41*$G$6</f>
        <v>24000</v>
      </c>
      <c r="H41" s="798">
        <f>G41/$D$10</f>
        <v>0.87468338283798308</v>
      </c>
    </row>
    <row r="42" spans="2:10" x14ac:dyDescent="0.25">
      <c r="B42" s="1654" t="s">
        <v>44</v>
      </c>
      <c r="C42" s="1634">
        <v>1</v>
      </c>
      <c r="D42" s="1364" t="str">
        <f>IFERROR(INDEX(Valores!E:E,MATCH(B42,Valores!C:C,0),1),"")</f>
        <v>Aplicaciones</v>
      </c>
      <c r="E42" s="1365">
        <f>SUMIF(Valores!C:C,B42,Valores!F:F)</f>
        <v>26</v>
      </c>
      <c r="F42" s="1366" t="str">
        <f>IFERROR(INDEX(Valores!G:G,MATCH(B42,Valores!C:C,0),1),"")</f>
        <v>U$S/Ha.</v>
      </c>
      <c r="G42" s="800">
        <f t="shared" si="3"/>
        <v>39000</v>
      </c>
      <c r="H42" s="798">
        <f>G42/$D$10</f>
        <v>1.4213604971117226</v>
      </c>
    </row>
    <row r="43" spans="2:10" ht="14.4" customHeight="1" thickBot="1" x14ac:dyDescent="0.3">
      <c r="B43" s="65" t="s">
        <v>105</v>
      </c>
      <c r="C43" s="173"/>
      <c r="D43" s="174"/>
      <c r="E43" s="176">
        <f>+G43/$G$6</f>
        <v>97</v>
      </c>
      <c r="F43" s="676" t="s">
        <v>95</v>
      </c>
      <c r="G43" s="801">
        <f>SUM(G39:G42)</f>
        <v>145500</v>
      </c>
      <c r="H43" s="802">
        <f>SUM(H39:H42)</f>
        <v>5.3027680084552724</v>
      </c>
    </row>
    <row r="44" spans="2:10" x14ac:dyDescent="0.25">
      <c r="B44" s="181"/>
      <c r="C44" s="187"/>
      <c r="D44" s="182"/>
      <c r="E44" s="189"/>
      <c r="F44" s="677"/>
      <c r="G44" s="734"/>
      <c r="H44" s="803"/>
    </row>
    <row r="45" spans="2:10" ht="13.95" customHeight="1" x14ac:dyDescent="0.25">
      <c r="B45" s="165" t="s">
        <v>106</v>
      </c>
      <c r="C45" s="1525">
        <v>30</v>
      </c>
      <c r="D45" s="695" t="s">
        <v>107</v>
      </c>
      <c r="E45" s="195">
        <v>4.6100000000000002E-2</v>
      </c>
      <c r="F45" s="675" t="s">
        <v>72</v>
      </c>
      <c r="G45" s="740">
        <f>C45*(E45)*D5</f>
        <v>43564.5</v>
      </c>
      <c r="H45" s="804">
        <f>G45/$D$10</f>
        <v>1.5877143429852214</v>
      </c>
    </row>
    <row r="46" spans="2:10" ht="13.95" customHeight="1" thickBot="1" x14ac:dyDescent="0.3">
      <c r="B46" s="198"/>
      <c r="C46" s="199"/>
      <c r="D46" s="200"/>
      <c r="E46" s="202"/>
      <c r="F46" s="678"/>
      <c r="G46" s="742"/>
      <c r="H46" s="805"/>
    </row>
    <row r="47" spans="2:10" ht="16.2" customHeight="1" thickBot="1" x14ac:dyDescent="0.3">
      <c r="B47" s="207" t="s">
        <v>108</v>
      </c>
      <c r="C47" s="208"/>
      <c r="D47" s="208"/>
      <c r="E47" s="806">
        <f>+G47/G6</f>
        <v>531.97820000000002</v>
      </c>
      <c r="F47" s="679"/>
      <c r="G47" s="745">
        <f>+G28+G34+G43+G36+G45</f>
        <v>797967.3</v>
      </c>
      <c r="H47" s="807">
        <f>+H28+H34+H43+H36+H45</f>
        <v>29.082030723253823</v>
      </c>
    </row>
    <row r="48" spans="2:10" ht="15.6" customHeight="1" x14ac:dyDescent="0.25">
      <c r="F48" s="37"/>
      <c r="G48" s="746"/>
      <c r="H48" s="747">
        <f>+G47/D10-H47</f>
        <v>0</v>
      </c>
    </row>
    <row r="49" spans="2:9" ht="16.2" customHeight="1" thickBot="1" x14ac:dyDescent="0.3">
      <c r="F49" s="37"/>
      <c r="G49" s="746"/>
      <c r="H49" s="747"/>
    </row>
    <row r="50" spans="2:9" ht="16.2" customHeight="1" thickBot="1" x14ac:dyDescent="0.3">
      <c r="B50" s="1708" t="s">
        <v>109</v>
      </c>
      <c r="C50" s="1686"/>
      <c r="D50" s="1687"/>
      <c r="G50" s="211"/>
    </row>
    <row r="51" spans="2:9" ht="14.4" customHeight="1" thickBot="1" x14ac:dyDescent="0.3">
      <c r="B51" s="808">
        <f>+H52*D10*C51/100</f>
        <v>98778.6</v>
      </c>
      <c r="C51" s="1529">
        <v>8</v>
      </c>
      <c r="D51" s="232" t="s">
        <v>72</v>
      </c>
      <c r="H51" s="212"/>
    </row>
    <row r="52" spans="2:9" ht="16.95" customHeight="1" thickTop="1" thickBot="1" x14ac:dyDescent="0.3">
      <c r="E52" s="104"/>
      <c r="F52" s="105"/>
      <c r="G52" s="106" t="s">
        <v>190</v>
      </c>
      <c r="H52" s="260">
        <f>+RESUMEN!G8</f>
        <v>45</v>
      </c>
      <c r="I52" s="213"/>
    </row>
    <row r="53" spans="2:9" ht="16.95" customHeight="1" thickTop="1" thickBot="1" x14ac:dyDescent="0.3">
      <c r="B53" s="1708" t="s">
        <v>111</v>
      </c>
      <c r="C53" s="1686"/>
      <c r="D53" s="1687"/>
      <c r="G53" s="314" t="str">
        <f>+'SOJA 1º'!G72</f>
        <v>Equilibrio 26-27 :</v>
      </c>
      <c r="H53" s="315">
        <f>((G47)/(D10-C54-C55))/(100-C51)*100</f>
        <v>33.094444965166467</v>
      </c>
    </row>
    <row r="54" spans="2:9" x14ac:dyDescent="0.25">
      <c r="B54" s="187" t="s">
        <v>113</v>
      </c>
      <c r="C54" s="1524">
        <v>730</v>
      </c>
      <c r="D54" s="232" t="s">
        <v>65</v>
      </c>
    </row>
    <row r="55" spans="2:9" x14ac:dyDescent="0.25">
      <c r="B55" s="214" t="s">
        <v>115</v>
      </c>
      <c r="C55" s="1524">
        <v>500</v>
      </c>
      <c r="D55" s="232" t="s">
        <v>65</v>
      </c>
    </row>
    <row r="57" spans="2:9" ht="16.2" customHeight="1" thickBot="1" x14ac:dyDescent="0.3">
      <c r="G57" s="31"/>
      <c r="H57" s="31"/>
    </row>
    <row r="58" spans="2:9" ht="19.2" customHeight="1" thickTop="1" thickBot="1" x14ac:dyDescent="0.3">
      <c r="B58" s="1690" t="s">
        <v>191</v>
      </c>
      <c r="C58" s="1691"/>
      <c r="D58" s="1691"/>
      <c r="E58" s="751">
        <f>+H52*D10*(100-C51)/100-G47-(C54+C55)*H52</f>
        <v>282636.59999999986</v>
      </c>
      <c r="F58" s="32" t="s">
        <v>117</v>
      </c>
      <c r="G58" s="809">
        <f>+E58/D10</f>
        <v>10.300730725076074</v>
      </c>
      <c r="H58" s="33" t="s">
        <v>77</v>
      </c>
    </row>
    <row r="59" spans="2:9" ht="17.399999999999999" customHeight="1" thickTop="1" x14ac:dyDescent="0.25">
      <c r="D59" s="357" t="s">
        <v>118</v>
      </c>
      <c r="E59" s="810">
        <f>+E58/G6</f>
        <v>188.42439999999991</v>
      </c>
      <c r="H59" s="94"/>
    </row>
    <row r="62" spans="2:9" x14ac:dyDescent="0.25">
      <c r="G62" s="747"/>
    </row>
    <row r="63" spans="2:9" x14ac:dyDescent="0.25">
      <c r="G63" s="752"/>
    </row>
    <row r="64" spans="2:9" x14ac:dyDescent="0.25">
      <c r="G64" s="747"/>
    </row>
    <row r="65" spans="7:7" x14ac:dyDescent="0.25">
      <c r="G65" s="747"/>
    </row>
    <row r="66" spans="7:7" x14ac:dyDescent="0.25">
      <c r="G66" s="753"/>
    </row>
  </sheetData>
  <sheetProtection algorithmName="SHA-512" hashValue="dJ1zHAdv9GViXo75yNHQSbQ0over1HMIoyVK56I5tvJlD5YoT62G1zamAeSBZE5c5rGu2NCET+J93t6dKRS9ww==" saltValue="/5VzhU8MztrMiu8YehFerA==" spinCount="100000" sheet="1" objects="1" scenarios="1"/>
  <mergeCells count="6">
    <mergeCell ref="B53:D53"/>
    <mergeCell ref="B58:D58"/>
    <mergeCell ref="B1:H2"/>
    <mergeCell ref="B7:D7"/>
    <mergeCell ref="C14:D14"/>
    <mergeCell ref="B50:D50"/>
  </mergeCells>
  <printOptions horizontalCentered="1" verticalCentered="1"/>
  <pageMargins left="0.70866141732283472" right="0.70866141732283472" top="0.74803149606299213" bottom="0.74803149606299213" header="0.31496062992125978" footer="0.31496062992125978"/>
  <pageSetup paperSize="9" scale="91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Seleccionar artículo correcto" promptTitle="Seleccionar artículo" xr:uid="{8DCF0FEF-C5DF-453F-AC41-0CAC3DEA0302}">
          <x14:formula1>
            <xm:f>Valores!$C$6:$C$123</xm:f>
          </x14:formula1>
          <xm:sqref>B15:B25 B36:B37 B30:B33 B39:B42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Hoja7">
    <pageSetUpPr fitToPage="1"/>
  </sheetPr>
  <dimension ref="B1:V79"/>
  <sheetViews>
    <sheetView showGridLines="0" zoomScaleNormal="100" workbookViewId="0">
      <pane xSplit="1" ySplit="2" topLeftCell="B31" activePane="bottomRight" state="frozen"/>
      <selection activeCell="K31" sqref="K31"/>
      <selection pane="topRight" activeCell="K31" sqref="K31"/>
      <selection pane="bottomLeft" activeCell="K31" sqref="K31"/>
      <selection pane="bottomRight" activeCell="I50" sqref="I50"/>
    </sheetView>
  </sheetViews>
  <sheetFormatPr baseColWidth="10" defaultColWidth="11.44140625" defaultRowHeight="13.2" x14ac:dyDescent="0.25"/>
  <cols>
    <col min="1" max="1" width="2.44140625" style="261" customWidth="1"/>
    <col min="2" max="2" width="40.6640625" style="261" customWidth="1"/>
    <col min="3" max="3" width="8.44140625" style="261" customWidth="1"/>
    <col min="4" max="4" width="9.6640625" style="261" customWidth="1"/>
    <col min="5" max="5" width="13.33203125" style="1163" customWidth="1"/>
    <col min="6" max="6" width="9.88671875" style="1163" customWidth="1"/>
    <col min="7" max="7" width="21.5546875" style="261" customWidth="1"/>
    <col min="8" max="8" width="8.6640625" style="261" bestFit="1" customWidth="1"/>
    <col min="9" max="11" width="8.6640625" style="261" customWidth="1"/>
    <col min="12" max="12" width="5.6640625" style="261" customWidth="1"/>
    <col min="13" max="13" width="13.109375" style="690" bestFit="1" customWidth="1"/>
    <col min="14" max="16" width="11.44140625" style="261" customWidth="1"/>
    <col min="17" max="16384" width="11.44140625" style="261"/>
  </cols>
  <sheetData>
    <row r="1" spans="2:13" ht="12.75" customHeight="1" x14ac:dyDescent="0.25">
      <c r="B1" s="1752" t="s">
        <v>197</v>
      </c>
      <c r="C1" s="1697"/>
      <c r="D1" s="1697"/>
      <c r="E1" s="1697"/>
      <c r="F1" s="1697"/>
      <c r="G1" s="1697"/>
      <c r="H1" s="1697"/>
      <c r="M1" s="112" t="s">
        <v>120</v>
      </c>
    </row>
    <row r="2" spans="2:13" ht="12.75" customHeight="1" x14ac:dyDescent="0.25">
      <c r="B2" s="1753"/>
      <c r="C2" s="1697"/>
      <c r="D2" s="1697"/>
      <c r="E2" s="1697"/>
      <c r="F2" s="1697"/>
      <c r="G2" s="1697"/>
      <c r="H2" s="1697"/>
      <c r="M2" s="690" t="s">
        <v>121</v>
      </c>
    </row>
    <row r="3" spans="2:13" ht="12.75" customHeight="1" x14ac:dyDescent="0.25">
      <c r="B3" s="114"/>
      <c r="C3" s="114"/>
      <c r="D3" s="114"/>
      <c r="E3" s="114"/>
      <c r="F3" s="114"/>
      <c r="M3" s="690" t="s">
        <v>64</v>
      </c>
    </row>
    <row r="4" spans="2:13" ht="12.75" customHeight="1" x14ac:dyDescent="0.25">
      <c r="B4" s="114"/>
      <c r="C4" s="114"/>
      <c r="D4" s="114"/>
      <c r="E4" s="114"/>
      <c r="F4" s="114"/>
    </row>
    <row r="5" spans="2:13" ht="13.95" customHeight="1" x14ac:dyDescent="0.25">
      <c r="B5" s="123" t="s">
        <v>64</v>
      </c>
      <c r="C5" s="124"/>
      <c r="D5" s="796">
        <f>+RESUMEN!F4</f>
        <v>48000</v>
      </c>
      <c r="E5" s="1176" t="s">
        <v>65</v>
      </c>
      <c r="G5" s="300" t="s">
        <v>186</v>
      </c>
      <c r="K5" s="215"/>
      <c r="M5" s="690" t="s">
        <v>73</v>
      </c>
    </row>
    <row r="6" spans="2:13" ht="13.95" customHeight="1" thickBot="1" x14ac:dyDescent="0.3">
      <c r="G6" s="457">
        <f>+RESUMEN!Q15</f>
        <v>1500</v>
      </c>
      <c r="H6" s="6" t="s">
        <v>187</v>
      </c>
    </row>
    <row r="7" spans="2:13" ht="17.399999999999999" customHeight="1" thickBot="1" x14ac:dyDescent="0.3">
      <c r="B7" s="1685" t="s">
        <v>68</v>
      </c>
      <c r="C7" s="1686"/>
      <c r="D7" s="1687"/>
      <c r="M7" s="690" t="s">
        <v>108</v>
      </c>
    </row>
    <row r="8" spans="2:13" x14ac:dyDescent="0.25">
      <c r="B8" s="187" t="s">
        <v>70</v>
      </c>
      <c r="C8" s="133"/>
      <c r="D8" s="133">
        <f>+RESUMEN!Q14</f>
        <v>3400</v>
      </c>
      <c r="E8" s="1177" t="s">
        <v>65</v>
      </c>
    </row>
    <row r="9" spans="2:13" x14ac:dyDescent="0.25">
      <c r="B9" s="187" t="s">
        <v>71</v>
      </c>
      <c r="C9" s="136"/>
      <c r="D9" s="1656">
        <v>2.1000000000000001E-2</v>
      </c>
      <c r="E9" s="1178" t="s">
        <v>72</v>
      </c>
      <c r="M9" s="690" t="s">
        <v>122</v>
      </c>
    </row>
    <row r="10" spans="2:13" x14ac:dyDescent="0.25">
      <c r="B10" s="137" t="s">
        <v>73</v>
      </c>
      <c r="C10" s="138"/>
      <c r="D10" s="138">
        <f>+D5*(1-D9)-D8</f>
        <v>43592</v>
      </c>
      <c r="E10" s="1177" t="s">
        <v>65</v>
      </c>
      <c r="M10" s="690" t="s">
        <v>113</v>
      </c>
    </row>
    <row r="11" spans="2:13" x14ac:dyDescent="0.25">
      <c r="M11" s="690" t="s">
        <v>115</v>
      </c>
    </row>
    <row r="12" spans="2:13" ht="13.95" customHeight="1" thickBot="1" x14ac:dyDescent="0.3"/>
    <row r="13" spans="2:13" ht="17.399999999999999" customHeight="1" thickBot="1" x14ac:dyDescent="0.3">
      <c r="B13" s="53" t="s">
        <v>74</v>
      </c>
      <c r="C13" s="703"/>
      <c r="D13" s="704"/>
      <c r="E13" s="141" t="s">
        <v>75</v>
      </c>
      <c r="F13" s="142"/>
      <c r="G13" s="320" t="s">
        <v>76</v>
      </c>
      <c r="H13" s="146" t="s">
        <v>77</v>
      </c>
      <c r="M13" s="690" t="s">
        <v>123</v>
      </c>
    </row>
    <row r="14" spans="2:13" ht="13.95" customHeight="1" thickBot="1" x14ac:dyDescent="0.3">
      <c r="B14" s="1162" t="s">
        <v>78</v>
      </c>
      <c r="C14" s="1754" t="s">
        <v>79</v>
      </c>
      <c r="D14" s="1755"/>
      <c r="E14" s="1161" t="s">
        <v>188</v>
      </c>
      <c r="F14" s="1164" t="s">
        <v>82</v>
      </c>
      <c r="G14" s="151" t="s">
        <v>188</v>
      </c>
      <c r="H14" s="353" t="s">
        <v>188</v>
      </c>
      <c r="M14" s="690" t="s">
        <v>124</v>
      </c>
    </row>
    <row r="15" spans="2:13" x14ac:dyDescent="0.25">
      <c r="B15" s="1653" t="s">
        <v>1095</v>
      </c>
      <c r="C15" s="1520">
        <v>1</v>
      </c>
      <c r="D15" s="1360" t="str">
        <f>IFERROR(INDEX(Valores!E:E,MATCH(B15,Valores!C:C,0),1),"")</f>
        <v>Lts/Ha.</v>
      </c>
      <c r="E15" s="1361">
        <f>SUMIF(Valores!C:C,B15,Valores!F:F)</f>
        <v>3.5</v>
      </c>
      <c r="F15" s="1362" t="str">
        <f>IFERROR(INDEX(Valores!G:G,MATCH(B15,Valores!C:C,0),1),"")</f>
        <v>U$S/Lts.</v>
      </c>
      <c r="G15" s="811">
        <f t="shared" ref="G15" si="0">+E15*C15*$G$6</f>
        <v>5250</v>
      </c>
      <c r="H15" s="798">
        <f t="shared" ref="H15" si="1">+G15/$D$10</f>
        <v>0.12043494219122775</v>
      </c>
      <c r="I15" s="217"/>
      <c r="J15" s="217"/>
      <c r="K15" s="217"/>
    </row>
    <row r="16" spans="2:13" x14ac:dyDescent="0.25">
      <c r="B16" s="1654" t="s">
        <v>1097</v>
      </c>
      <c r="C16" s="1521">
        <v>0.05</v>
      </c>
      <c r="D16" s="1364" t="str">
        <f>IFERROR(INDEX(Valores!E:E,MATCH(B16,Valores!C:C,0),1),"")</f>
        <v>Lts/Ha.</v>
      </c>
      <c r="E16" s="1365">
        <f>SUMIF(Valores!C:C,B16,Valores!F:F)</f>
        <v>45</v>
      </c>
      <c r="F16" s="1366" t="str">
        <f>IFERROR(INDEX(Valores!G:G,MATCH(B16,Valores!C:C,0),1),"")</f>
        <v>U$S/Lts.</v>
      </c>
      <c r="G16" s="811">
        <f t="shared" ref="G16:G23" si="2">+E16*C16*$G$6</f>
        <v>3375</v>
      </c>
      <c r="H16" s="798">
        <f t="shared" ref="H16:H23" si="3">+G16/$D$10</f>
        <v>7.7422462837217834E-2</v>
      </c>
      <c r="I16" s="217"/>
      <c r="J16" s="217"/>
      <c r="K16" s="217"/>
    </row>
    <row r="17" spans="2:13" x14ac:dyDescent="0.25">
      <c r="B17" s="1654" t="s">
        <v>1198</v>
      </c>
      <c r="C17" s="1521">
        <v>4.5</v>
      </c>
      <c r="D17" s="1364" t="str">
        <f>IFERROR(INDEX(Valores!E:E,MATCH(B17,Valores!C:C,0),1),"")</f>
        <v>Lts/Ha.</v>
      </c>
      <c r="E17" s="1365">
        <f>SUMIF(Valores!C:C,B17,Valores!F:F)</f>
        <v>4.3</v>
      </c>
      <c r="F17" s="1366" t="str">
        <f>IFERROR(INDEX(Valores!G:G,MATCH(B17,Valores!C:C,0),1),"")</f>
        <v>U$S/Lts.</v>
      </c>
      <c r="G17" s="811">
        <f t="shared" si="2"/>
        <v>29024.999999999996</v>
      </c>
      <c r="H17" s="798">
        <f t="shared" si="3"/>
        <v>0.66583318040007333</v>
      </c>
      <c r="I17" s="217"/>
      <c r="J17" s="217"/>
      <c r="K17" s="217"/>
      <c r="M17" s="690" t="s">
        <v>70</v>
      </c>
    </row>
    <row r="18" spans="2:13" x14ac:dyDescent="0.25">
      <c r="B18" s="1654" t="s">
        <v>1197</v>
      </c>
      <c r="C18" s="1521">
        <v>1</v>
      </c>
      <c r="D18" s="1364" t="str">
        <f>IFERROR(INDEX(Valores!E:E,MATCH(B18,Valores!C:C,0),1),"")</f>
        <v>Lts/Ha.</v>
      </c>
      <c r="E18" s="1365">
        <f>SUMIF(Valores!C:C,B18,Valores!F:F)</f>
        <v>4.6500000000000004</v>
      </c>
      <c r="F18" s="1366" t="str">
        <f>IFERROR(INDEX(Valores!G:G,MATCH(B18,Valores!C:C,0),1),"")</f>
        <v>U$S/Lts.</v>
      </c>
      <c r="G18" s="811">
        <f t="shared" si="2"/>
        <v>6975.0000000000009</v>
      </c>
      <c r="H18" s="798">
        <f t="shared" si="3"/>
        <v>0.16000642319691688</v>
      </c>
      <c r="I18" s="217"/>
      <c r="J18" s="217"/>
      <c r="K18" s="217"/>
    </row>
    <row r="19" spans="2:13" x14ac:dyDescent="0.25">
      <c r="B19" s="1654" t="s">
        <v>1200</v>
      </c>
      <c r="C19" s="1521">
        <v>0.04</v>
      </c>
      <c r="D19" s="1364" t="str">
        <f>IFERROR(INDEX(Valores!E:E,MATCH(B19,Valores!C:C,0),1),"")</f>
        <v>Kg/Ha.</v>
      </c>
      <c r="E19" s="1365">
        <f>SUMIF(Valores!C:C,B19,Valores!F:F)</f>
        <v>305</v>
      </c>
      <c r="F19" s="1366" t="str">
        <f>IFERROR(INDEX(Valores!G:G,MATCH(B19,Valores!C:C,0),1),"")</f>
        <v>U$S/Kg.</v>
      </c>
      <c r="G19" s="811">
        <f t="shared" si="2"/>
        <v>18300</v>
      </c>
      <c r="H19" s="798">
        <f t="shared" si="3"/>
        <v>0.41980179849513671</v>
      </c>
      <c r="I19" s="217"/>
      <c r="J19" s="217"/>
      <c r="K19" s="217"/>
    </row>
    <row r="20" spans="2:13" x14ac:dyDescent="0.25">
      <c r="B20" s="1654" t="s">
        <v>1201</v>
      </c>
      <c r="C20" s="1521">
        <v>0.5</v>
      </c>
      <c r="D20" s="1364" t="str">
        <f>IFERROR(INDEX(Valores!E:E,MATCH(B20,Valores!C:C,0),1),"")</f>
        <v>Lts/Ha.</v>
      </c>
      <c r="E20" s="1365">
        <f>SUMIF(Valores!C:C,B20,Valores!F:F)</f>
        <v>19.3</v>
      </c>
      <c r="F20" s="1366" t="str">
        <f>IFERROR(INDEX(Valores!G:G,MATCH(B20,Valores!C:C,0),1),"")</f>
        <v>U$S/Lts.</v>
      </c>
      <c r="G20" s="811">
        <f t="shared" si="2"/>
        <v>14475</v>
      </c>
      <c r="H20" s="798">
        <f t="shared" si="3"/>
        <v>0.33205634061295652</v>
      </c>
      <c r="I20" s="217"/>
      <c r="J20" s="217"/>
      <c r="K20" s="217"/>
    </row>
    <row r="21" spans="2:13" x14ac:dyDescent="0.25">
      <c r="B21" s="1654" t="s">
        <v>1202</v>
      </c>
      <c r="C21" s="1521">
        <v>0.2</v>
      </c>
      <c r="D21" s="1364" t="str">
        <f>IFERROR(INDEX(Valores!E:E,MATCH(B21,Valores!C:C,0),1),"")</f>
        <v>Lts/Ha.</v>
      </c>
      <c r="E21" s="1365">
        <f>SUMIF(Valores!C:C,B21,Valores!F:F)</f>
        <v>84</v>
      </c>
      <c r="F21" s="1366" t="str">
        <f>IFERROR(INDEX(Valores!G:G,MATCH(B21,Valores!C:C,0),1),"")</f>
        <v>U$S/Lts.</v>
      </c>
      <c r="G21" s="811">
        <f t="shared" si="2"/>
        <v>25200</v>
      </c>
      <c r="H21" s="798">
        <f t="shared" si="3"/>
        <v>0.5780877225178932</v>
      </c>
      <c r="I21" s="217"/>
      <c r="J21" s="217"/>
      <c r="K21" s="217"/>
    </row>
    <row r="22" spans="2:13" x14ac:dyDescent="0.25">
      <c r="B22" s="1654" t="s">
        <v>1203</v>
      </c>
      <c r="C22" s="1521">
        <v>1.1000000000000001</v>
      </c>
      <c r="D22" s="1364" t="str">
        <f>IFERROR(INDEX(Valores!E:E,MATCH(B22,Valores!C:C,0),1),"")</f>
        <v>Lts/Ha.</v>
      </c>
      <c r="E22" s="1365">
        <f>SUMIF(Valores!C:C,B22,Valores!F:F)</f>
        <v>7.8</v>
      </c>
      <c r="F22" s="1366" t="str">
        <f>IFERROR(INDEX(Valores!G:G,MATCH(B22,Valores!C:C,0),1),"")</f>
        <v>U$S/Lts.</v>
      </c>
      <c r="G22" s="811">
        <f t="shared" si="2"/>
        <v>12870</v>
      </c>
      <c r="H22" s="798">
        <f t="shared" si="3"/>
        <v>0.29523765828592402</v>
      </c>
      <c r="I22" s="217"/>
      <c r="J22" s="217"/>
      <c r="K22" s="217"/>
    </row>
    <row r="23" spans="2:13" x14ac:dyDescent="0.25">
      <c r="B23" s="1654" t="s">
        <v>1204</v>
      </c>
      <c r="C23" s="1521">
        <v>0.2</v>
      </c>
      <c r="D23" s="1364" t="str">
        <f>IFERROR(INDEX(Valores!E:E,MATCH(B23,Valores!C:C,0),1),"")</f>
        <v>Lts/Ha.</v>
      </c>
      <c r="E23" s="1365">
        <f>SUMIF(Valores!C:C,B23,Valores!F:F)</f>
        <v>22</v>
      </c>
      <c r="F23" s="1366" t="str">
        <f>IFERROR(INDEX(Valores!G:G,MATCH(B23,Valores!C:C,0),1),"")</f>
        <v>U$S/Lts.</v>
      </c>
      <c r="G23" s="811">
        <f t="shared" si="2"/>
        <v>6600.0000000000009</v>
      </c>
      <c r="H23" s="798">
        <f t="shared" si="3"/>
        <v>0.15140392732611491</v>
      </c>
      <c r="I23" s="217"/>
      <c r="J23" s="217"/>
      <c r="K23" s="217"/>
    </row>
    <row r="24" spans="2:13" x14ac:dyDescent="0.25">
      <c r="B24" s="1654"/>
      <c r="C24" s="1521"/>
      <c r="D24" s="1364" t="str">
        <f>IFERROR(INDEX(Valores!E:E,MATCH(B24,Valores!C:C,0),1),"")</f>
        <v/>
      </c>
      <c r="E24" s="1365">
        <f>SUMIF(Valores!C:C,B24,Valores!F:F)</f>
        <v>0</v>
      </c>
      <c r="F24" s="1366" t="str">
        <f>IFERROR(INDEX(Valores!G:G,MATCH(B24,Valores!C:C,0),1),"")</f>
        <v/>
      </c>
      <c r="G24" s="811">
        <f t="shared" ref="G24:G35" si="4">+E24*C24*$G$6</f>
        <v>0</v>
      </c>
      <c r="H24" s="798">
        <f t="shared" ref="H24:H36" si="5">+G24/$D$10</f>
        <v>0</v>
      </c>
    </row>
    <row r="25" spans="2:13" x14ac:dyDescent="0.25">
      <c r="B25" s="1654" t="s">
        <v>1085</v>
      </c>
      <c r="C25" s="1521">
        <v>0.3</v>
      </c>
      <c r="D25" s="1364" t="str">
        <f>IFERROR(INDEX(Valores!E:E,MATCH(B25,Valores!C:C,0),1),"")</f>
        <v>Lts/Ha.</v>
      </c>
      <c r="E25" s="1365">
        <f>SUMIF(Valores!C:C,B25,Valores!F:F)</f>
        <v>30.5</v>
      </c>
      <c r="F25" s="1366" t="str">
        <f>IFERROR(INDEX(Valores!G:G,MATCH(B25,Valores!C:C,0),1),"")</f>
        <v>U$S/Lts.</v>
      </c>
      <c r="G25" s="811">
        <f t="shared" si="4"/>
        <v>13725</v>
      </c>
      <c r="H25" s="798">
        <f t="shared" si="5"/>
        <v>0.31485134887135252</v>
      </c>
      <c r="I25" s="217"/>
      <c r="J25" s="217"/>
      <c r="K25" s="217"/>
    </row>
    <row r="26" spans="2:13" x14ac:dyDescent="0.25">
      <c r="B26" s="1654" t="s">
        <v>1113</v>
      </c>
      <c r="C26" s="1521">
        <v>0.35</v>
      </c>
      <c r="D26" s="1364" t="str">
        <f>IFERROR(INDEX(Valores!E:E,MATCH(B26,Valores!C:C,0),1),"")</f>
        <v>Lts/Ha.</v>
      </c>
      <c r="E26" s="1365">
        <f>SUMIF(Valores!C:C,B26,Valores!F:F)</f>
        <v>23</v>
      </c>
      <c r="F26" s="1366" t="str">
        <f>IFERROR(INDEX(Valores!G:G,MATCH(B26,Valores!C:C,0),1),"")</f>
        <v>U$S/Lts.</v>
      </c>
      <c r="G26" s="811">
        <f t="shared" si="4"/>
        <v>12074.999999999998</v>
      </c>
      <c r="H26" s="798">
        <f t="shared" si="5"/>
        <v>0.27700036703982378</v>
      </c>
      <c r="I26" s="217"/>
      <c r="J26" s="217"/>
      <c r="K26" s="217"/>
    </row>
    <row r="27" spans="2:13" x14ac:dyDescent="0.25">
      <c r="B27" s="1654"/>
      <c r="C27" s="1521"/>
      <c r="D27" s="1364" t="str">
        <f>IFERROR(INDEX(Valores!E:E,MATCH(B27,Valores!C:C,0),1),"")</f>
        <v/>
      </c>
      <c r="E27" s="1365">
        <f>SUMIF(Valores!C:C,B27,Valores!F:F)</f>
        <v>0</v>
      </c>
      <c r="F27" s="1366" t="str">
        <f>IFERROR(INDEX(Valores!G:G,MATCH(B27,Valores!C:C,0),1),"")</f>
        <v/>
      </c>
      <c r="G27" s="811">
        <f t="shared" si="4"/>
        <v>0</v>
      </c>
      <c r="H27" s="798">
        <f t="shared" si="5"/>
        <v>0</v>
      </c>
      <c r="I27" s="217"/>
      <c r="J27" s="217"/>
      <c r="K27" s="217"/>
    </row>
    <row r="28" spans="2:13" x14ac:dyDescent="0.25">
      <c r="B28" s="1654" t="s">
        <v>1107</v>
      </c>
      <c r="C28" s="1521">
        <v>1</v>
      </c>
      <c r="D28" s="1364" t="str">
        <f>IFERROR(INDEX(Valores!E:E,MATCH(B28,Valores!C:C,0),1),"")</f>
        <v>Dosis/Ha.</v>
      </c>
      <c r="E28" s="1365">
        <f>SUMIF(Valores!C:C,B28,Valores!F:F)</f>
        <v>4.5</v>
      </c>
      <c r="F28" s="1366" t="str">
        <f>IFERROR(INDEX(Valores!G:G,MATCH(B28,Valores!C:C,0),1),"")</f>
        <v>U$S/Dosis</v>
      </c>
      <c r="G28" s="811">
        <f t="shared" si="4"/>
        <v>6750</v>
      </c>
      <c r="H28" s="798">
        <f t="shared" si="5"/>
        <v>0.15484492567443567</v>
      </c>
      <c r="I28" s="217"/>
      <c r="J28" s="217"/>
      <c r="K28" s="217"/>
    </row>
    <row r="29" spans="2:13" x14ac:dyDescent="0.25">
      <c r="B29" s="1654"/>
      <c r="C29" s="1521"/>
      <c r="D29" s="1364" t="str">
        <f>IFERROR(INDEX(Valores!E:E,MATCH(B29,Valores!C:C,0),1),"")</f>
        <v/>
      </c>
      <c r="E29" s="1365">
        <f>SUMIF(Valores!C:C,B29,Valores!F:F)</f>
        <v>0</v>
      </c>
      <c r="F29" s="1366" t="str">
        <f>IFERROR(INDEX(Valores!G:G,MATCH(B29,Valores!C:C,0),1),"")</f>
        <v/>
      </c>
      <c r="G29" s="811">
        <f t="shared" si="4"/>
        <v>0</v>
      </c>
      <c r="H29" s="798">
        <f t="shared" si="5"/>
        <v>0</v>
      </c>
      <c r="I29" s="217"/>
      <c r="J29" s="217"/>
      <c r="K29" s="217"/>
    </row>
    <row r="30" spans="2:13" x14ac:dyDescent="0.25">
      <c r="B30" s="1654"/>
      <c r="C30" s="1521"/>
      <c r="D30" s="1364" t="str">
        <f>IFERROR(INDEX(Valores!E:E,MATCH(B30,Valores!C:C,0),1),"")</f>
        <v/>
      </c>
      <c r="E30" s="1365">
        <f>SUMIF(Valores!C:C,B30,Valores!F:F)</f>
        <v>0</v>
      </c>
      <c r="F30" s="1366" t="str">
        <f>IFERROR(INDEX(Valores!G:G,MATCH(B30,Valores!C:C,0),1),"")</f>
        <v/>
      </c>
      <c r="G30" s="811">
        <f t="shared" si="4"/>
        <v>0</v>
      </c>
      <c r="H30" s="798">
        <f t="shared" si="5"/>
        <v>0</v>
      </c>
      <c r="I30" s="217"/>
      <c r="J30" s="217"/>
      <c r="K30" s="217"/>
    </row>
    <row r="31" spans="2:13" x14ac:dyDescent="0.25">
      <c r="B31" s="1654"/>
      <c r="C31" s="1521"/>
      <c r="D31" s="1364" t="str">
        <f>IFERROR(INDEX(Valores!E:E,MATCH(B31,Valores!C:C,0),1),"")</f>
        <v/>
      </c>
      <c r="E31" s="1365">
        <f>SUMIF(Valores!C:C,B31,Valores!F:F)</f>
        <v>0</v>
      </c>
      <c r="F31" s="1366" t="str">
        <f>IFERROR(INDEX(Valores!G:G,MATCH(B31,Valores!C:C,0),1),"")</f>
        <v/>
      </c>
      <c r="G31" s="811">
        <f t="shared" si="4"/>
        <v>0</v>
      </c>
      <c r="H31" s="798">
        <f t="shared" si="5"/>
        <v>0</v>
      </c>
      <c r="I31" s="217"/>
      <c r="J31" s="217"/>
      <c r="K31" s="217"/>
    </row>
    <row r="32" spans="2:13" x14ac:dyDescent="0.25">
      <c r="B32" s="1654"/>
      <c r="C32" s="1521"/>
      <c r="D32" s="1364" t="str">
        <f>IFERROR(INDEX(Valores!E:E,MATCH(B32,Valores!C:C,0),1),"")</f>
        <v/>
      </c>
      <c r="E32" s="1365">
        <f>SUMIF(Valores!C:C,B32,Valores!F:F)</f>
        <v>0</v>
      </c>
      <c r="F32" s="1366" t="str">
        <f>IFERROR(INDEX(Valores!G:G,MATCH(B32,Valores!C:C,0),1),"")</f>
        <v/>
      </c>
      <c r="G32" s="811">
        <f t="shared" si="4"/>
        <v>0</v>
      </c>
      <c r="H32" s="798">
        <f t="shared" si="5"/>
        <v>0</v>
      </c>
      <c r="I32" s="217"/>
      <c r="J32" s="217"/>
      <c r="K32" s="217"/>
    </row>
    <row r="33" spans="2:22" x14ac:dyDescent="0.25">
      <c r="B33" s="1654"/>
      <c r="C33" s="1521"/>
      <c r="D33" s="1364" t="str">
        <f>IFERROR(INDEX(Valores!E:E,MATCH(B33,Valores!C:C,0),1),"")</f>
        <v/>
      </c>
      <c r="E33" s="1365">
        <f>SUMIF(Valores!C:C,B33,Valores!F:F)</f>
        <v>0</v>
      </c>
      <c r="F33" s="1366" t="str">
        <f>IFERROR(INDEX(Valores!G:G,MATCH(B33,Valores!C:C,0),1),"")</f>
        <v/>
      </c>
      <c r="G33" s="811">
        <f t="shared" si="4"/>
        <v>0</v>
      </c>
      <c r="H33" s="798">
        <f t="shared" si="5"/>
        <v>0</v>
      </c>
      <c r="I33" s="217"/>
      <c r="J33" s="217"/>
      <c r="K33" s="217"/>
    </row>
    <row r="34" spans="2:22" x14ac:dyDescent="0.25">
      <c r="B34" s="1654"/>
      <c r="C34" s="1521"/>
      <c r="D34" s="1364" t="str">
        <f>IFERROR(INDEX(Valores!E:E,MATCH(B34,Valores!C:C,0),1),"")</f>
        <v/>
      </c>
      <c r="E34" s="1365">
        <f>SUMIF(Valores!C:C,B34,Valores!F:F)</f>
        <v>0</v>
      </c>
      <c r="F34" s="1366" t="str">
        <f>IFERROR(INDEX(Valores!G:G,MATCH(B34,Valores!C:C,0),1),"")</f>
        <v/>
      </c>
      <c r="G34" s="811">
        <f t="shared" si="4"/>
        <v>0</v>
      </c>
      <c r="H34" s="798">
        <f t="shared" si="5"/>
        <v>0</v>
      </c>
      <c r="I34" s="217"/>
      <c r="J34" s="217"/>
      <c r="K34" s="217"/>
      <c r="M34" s="690" t="s">
        <v>130</v>
      </c>
    </row>
    <row r="35" spans="2:22" x14ac:dyDescent="0.25">
      <c r="B35" s="1654"/>
      <c r="C35" s="1521"/>
      <c r="D35" s="1364" t="str">
        <f>IFERROR(INDEX(Valores!E:E,MATCH(B35,Valores!C:C,0),1),"")</f>
        <v/>
      </c>
      <c r="E35" s="1365">
        <f>SUMIF(Valores!C:C,B35,Valores!F:F)</f>
        <v>0</v>
      </c>
      <c r="F35" s="1366" t="str">
        <f>IFERROR(INDEX(Valores!G:G,MATCH(B35,Valores!C:C,0),1),"")</f>
        <v/>
      </c>
      <c r="G35" s="811">
        <f t="shared" si="4"/>
        <v>0</v>
      </c>
      <c r="H35" s="798">
        <f t="shared" si="5"/>
        <v>0</v>
      </c>
      <c r="I35" s="217"/>
      <c r="J35" s="217"/>
      <c r="K35" s="217"/>
    </row>
    <row r="36" spans="2:22" x14ac:dyDescent="0.25">
      <c r="B36" s="1654"/>
      <c r="C36" s="1521"/>
      <c r="D36" s="1364" t="str">
        <f>IFERROR(INDEX(Valores!E:E,MATCH(B36,Valores!C:C,0),1),"")</f>
        <v/>
      </c>
      <c r="E36" s="1365">
        <f>SUMIF(Valores!C:C,B36,Valores!F:F)</f>
        <v>0</v>
      </c>
      <c r="F36" s="1366" t="str">
        <f>IFERROR(INDEX(Valores!G:G,MATCH(B36,Valores!C:C,0),1),"")</f>
        <v/>
      </c>
      <c r="G36" s="811">
        <f>+E36*C36*$G$6</f>
        <v>0</v>
      </c>
      <c r="H36" s="798">
        <f t="shared" si="5"/>
        <v>0</v>
      </c>
      <c r="I36" s="217"/>
      <c r="J36" s="217"/>
      <c r="K36" s="217"/>
    </row>
    <row r="37" spans="2:22" ht="14.4" customHeight="1" thickBot="1" x14ac:dyDescent="0.3">
      <c r="B37" s="172" t="s">
        <v>94</v>
      </c>
      <c r="C37" s="699"/>
      <c r="D37" s="700"/>
      <c r="E37" s="1179">
        <f>+G37/G6</f>
        <v>103.08</v>
      </c>
      <c r="F37" s="1165" t="s">
        <v>95</v>
      </c>
      <c r="G37" s="822">
        <f>SUM(G15:G36)</f>
        <v>154620</v>
      </c>
      <c r="H37" s="802">
        <f>SUM(H15:H36)</f>
        <v>3.5469810974490734</v>
      </c>
      <c r="I37" s="690"/>
      <c r="J37" s="690"/>
      <c r="K37" s="690"/>
      <c r="L37" s="690"/>
      <c r="N37" s="690"/>
      <c r="O37" s="690"/>
      <c r="P37" s="690"/>
      <c r="Q37" s="690"/>
      <c r="R37" s="690"/>
      <c r="S37" s="690"/>
      <c r="T37" s="690"/>
      <c r="U37" s="690"/>
      <c r="V37" s="690"/>
    </row>
    <row r="38" spans="2:22" x14ac:dyDescent="0.25">
      <c r="B38" s="1363"/>
      <c r="C38" s="1379"/>
      <c r="D38" s="1364" t="str">
        <f>IFERROR(INDEX(Valores!E:E,MATCH(B38,Valores!C:C,0),1),"")</f>
        <v/>
      </c>
      <c r="E38" s="1365">
        <f>SUMIF(Valores!C:C,B38,Valores!F:F)</f>
        <v>0</v>
      </c>
      <c r="F38" s="1366" t="str">
        <f>IFERROR(INDEX(Valores!G:G,MATCH(B38,Valores!C:C,0),1),"")</f>
        <v/>
      </c>
      <c r="G38" s="1380">
        <f>+E38*C38*$G$6/1000</f>
        <v>0</v>
      </c>
      <c r="H38" s="1381">
        <f>+G38/$D$10</f>
        <v>0</v>
      </c>
      <c r="I38" s="244"/>
      <c r="J38" s="244"/>
      <c r="K38" s="244"/>
      <c r="L38" s="244"/>
      <c r="M38" s="244"/>
      <c r="N38" s="244"/>
      <c r="O38" s="244"/>
      <c r="P38" s="244"/>
      <c r="Q38" s="244"/>
      <c r="R38" s="244"/>
      <c r="S38" s="244"/>
      <c r="T38" s="244"/>
      <c r="U38" s="244"/>
      <c r="V38" s="244"/>
    </row>
    <row r="39" spans="2:22" x14ac:dyDescent="0.25">
      <c r="B39" s="1654"/>
      <c r="C39" s="1521"/>
      <c r="D39" s="1364" t="str">
        <f>IFERROR(INDEX(Valores!E:E,MATCH(B39,Valores!C:C,0),1),"")</f>
        <v/>
      </c>
      <c r="E39" s="1365">
        <f>SUMIF(Valores!C:C,B39,Valores!F:F)</f>
        <v>0</v>
      </c>
      <c r="F39" s="1366" t="str">
        <f>IFERROR(INDEX(Valores!G:G,MATCH(B39,Valores!C:C,0),1),"")</f>
        <v/>
      </c>
      <c r="G39" s="811">
        <f t="shared" ref="G39:G42" si="6">+E39*C39*$G$6/1000</f>
        <v>0</v>
      </c>
      <c r="H39" s="798">
        <f t="shared" ref="H39:H42" si="7">+G39/$D$10</f>
        <v>0</v>
      </c>
      <c r="I39" s="244"/>
      <c r="J39" s="244"/>
      <c r="K39" s="244"/>
      <c r="L39" s="244"/>
      <c r="M39" s="244"/>
      <c r="N39" s="244"/>
      <c r="O39" s="244"/>
      <c r="P39" s="244"/>
      <c r="Q39" s="244"/>
      <c r="R39" s="244"/>
      <c r="S39" s="244"/>
      <c r="T39" s="244"/>
      <c r="U39" s="244"/>
      <c r="V39" s="244"/>
    </row>
    <row r="40" spans="2:22" x14ac:dyDescent="0.25">
      <c r="B40" s="1654"/>
      <c r="C40" s="1521"/>
      <c r="D40" s="1364" t="str">
        <f>IFERROR(INDEX(Valores!E:E,MATCH(B40,Valores!C:C,0),1),"")</f>
        <v/>
      </c>
      <c r="E40" s="1365">
        <f>SUMIF(Valores!C:C,B40,Valores!F:F)</f>
        <v>0</v>
      </c>
      <c r="F40" s="1366" t="str">
        <f>IFERROR(INDEX(Valores!G:G,MATCH(B40,Valores!C:C,0),1),"")</f>
        <v/>
      </c>
      <c r="G40" s="811">
        <f t="shared" si="6"/>
        <v>0</v>
      </c>
      <c r="H40" s="798">
        <f t="shared" si="7"/>
        <v>0</v>
      </c>
      <c r="I40" s="244"/>
      <c r="J40" s="244"/>
      <c r="K40" s="244"/>
      <c r="L40" s="244"/>
      <c r="M40" s="244"/>
      <c r="N40" s="244"/>
      <c r="O40" s="244"/>
      <c r="P40" s="244"/>
      <c r="Q40" s="244"/>
      <c r="R40" s="244"/>
      <c r="S40" s="244"/>
      <c r="T40" s="244"/>
      <c r="U40" s="244"/>
      <c r="V40" s="244"/>
    </row>
    <row r="41" spans="2:22" x14ac:dyDescent="0.25">
      <c r="B41" s="1654"/>
      <c r="C41" s="1521"/>
      <c r="D41" s="1364" t="str">
        <f>IFERROR(INDEX(Valores!E:E,MATCH(B41,Valores!C:C,0),1),"")</f>
        <v/>
      </c>
      <c r="E41" s="1365">
        <f>SUMIF(Valores!C:C,B41,Valores!F:F)</f>
        <v>0</v>
      </c>
      <c r="F41" s="1366" t="str">
        <f>IFERROR(INDEX(Valores!G:G,MATCH(B41,Valores!C:C,0),1),"")</f>
        <v/>
      </c>
      <c r="G41" s="811">
        <f t="shared" si="6"/>
        <v>0</v>
      </c>
      <c r="H41" s="798">
        <f t="shared" si="7"/>
        <v>0</v>
      </c>
      <c r="I41" s="244"/>
      <c r="J41" s="244"/>
      <c r="K41" s="244"/>
      <c r="L41" s="244"/>
      <c r="M41" s="244"/>
      <c r="N41" s="244"/>
      <c r="O41" s="244"/>
      <c r="P41" s="244"/>
      <c r="Q41" s="244"/>
      <c r="R41" s="244"/>
      <c r="S41" s="244"/>
      <c r="T41" s="244"/>
      <c r="U41" s="244"/>
      <c r="V41" s="244"/>
    </row>
    <row r="42" spans="2:22" x14ac:dyDescent="0.25">
      <c r="B42" s="1654"/>
      <c r="C42" s="1521"/>
      <c r="D42" s="1364" t="str">
        <f>IFERROR(INDEX(Valores!E:E,MATCH(B42,Valores!C:C,0),1),"")</f>
        <v/>
      </c>
      <c r="E42" s="1365">
        <f>SUMIF(Valores!C:C,B42,Valores!F:F)</f>
        <v>0</v>
      </c>
      <c r="F42" s="1366" t="str">
        <f>IFERROR(INDEX(Valores!G:G,MATCH(B42,Valores!C:C,0),1),"")</f>
        <v/>
      </c>
      <c r="G42" s="811">
        <f t="shared" si="6"/>
        <v>0</v>
      </c>
      <c r="H42" s="798">
        <f t="shared" si="7"/>
        <v>0</v>
      </c>
      <c r="I42" s="244"/>
      <c r="J42" s="244"/>
      <c r="K42" s="244"/>
      <c r="L42" s="244"/>
      <c r="M42" s="244"/>
      <c r="N42" s="244"/>
      <c r="O42" s="244"/>
      <c r="P42" s="244"/>
      <c r="Q42" s="244"/>
      <c r="R42" s="244"/>
      <c r="S42" s="244"/>
      <c r="T42" s="244"/>
      <c r="U42" s="244"/>
      <c r="V42" s="244"/>
    </row>
    <row r="43" spans="2:22" ht="14.4" customHeight="1" thickBot="1" x14ac:dyDescent="0.3">
      <c r="B43" s="1442" t="s">
        <v>100</v>
      </c>
      <c r="C43" s="1447"/>
      <c r="D43" s="1448"/>
      <c r="E43" s="1443">
        <f>+G43/G6</f>
        <v>0</v>
      </c>
      <c r="F43" s="1449" t="s">
        <v>95</v>
      </c>
      <c r="G43" s="1450">
        <f>SUM(G38:G42)</f>
        <v>0</v>
      </c>
      <c r="H43" s="1451">
        <f>SUM(H38:H42)</f>
        <v>0</v>
      </c>
      <c r="I43" s="690"/>
      <c r="J43" s="690"/>
      <c r="K43" s="690"/>
      <c r="L43" s="690"/>
      <c r="N43" s="690"/>
      <c r="O43" s="690"/>
      <c r="P43" s="690"/>
      <c r="Q43" s="690"/>
      <c r="R43" s="690"/>
      <c r="S43" s="690"/>
      <c r="T43" s="690"/>
      <c r="U43" s="690"/>
      <c r="V43" s="690"/>
    </row>
    <row r="44" spans="2:22" x14ac:dyDescent="0.25">
      <c r="B44" s="1663"/>
      <c r="C44" s="1556"/>
      <c r="D44" s="1458"/>
      <c r="E44" s="1459"/>
      <c r="F44" s="1460"/>
      <c r="G44" s="1461"/>
      <c r="H44" s="856"/>
      <c r="I44" s="217"/>
      <c r="J44" s="217"/>
      <c r="K44" s="217"/>
    </row>
    <row r="45" spans="2:22" ht="14.4" customHeight="1" x14ac:dyDescent="0.25">
      <c r="B45" s="1654" t="s">
        <v>37</v>
      </c>
      <c r="C45" s="1521">
        <v>3</v>
      </c>
      <c r="D45" s="1377" t="str">
        <f>IFERROR(INDEX(Valores!E:E,MATCH(B45,Valores!C:C,0),1),"")</f>
        <v>bls./Ha.</v>
      </c>
      <c r="E45" s="1378">
        <f>SUMIF(Valores!C:C,B45,Valores!F:F)</f>
        <v>38</v>
      </c>
      <c r="F45" s="1474" t="str">
        <f>IFERROR(INDEX(Valores!G:G,MATCH(B45,Valores!C:C,0),1),"")</f>
        <v>U$S/bls.</v>
      </c>
      <c r="G45" s="1457">
        <f>+C45*E45*G6</f>
        <v>171000</v>
      </c>
      <c r="H45" s="804">
        <f>G45/$D$10</f>
        <v>3.9227381170857036</v>
      </c>
      <c r="I45" s="217"/>
      <c r="J45" s="217"/>
      <c r="K45" s="217"/>
    </row>
    <row r="46" spans="2:22" ht="14.4" customHeight="1" thickBot="1" x14ac:dyDescent="0.3">
      <c r="B46" s="1160" t="s">
        <v>1226</v>
      </c>
      <c r="C46" s="1468"/>
      <c r="D46" s="1472"/>
      <c r="E46" s="1473">
        <f>G46/G6</f>
        <v>114</v>
      </c>
      <c r="F46" s="1469" t="s">
        <v>95</v>
      </c>
      <c r="G46" s="1470">
        <f>SUM(G45)</f>
        <v>171000</v>
      </c>
      <c r="H46" s="1471">
        <f>G46/D10</f>
        <v>3.9227381170857036</v>
      </c>
      <c r="I46" s="217"/>
      <c r="J46" s="217"/>
      <c r="K46" s="217"/>
    </row>
    <row r="47" spans="2:22" x14ac:dyDescent="0.25">
      <c r="B47" s="181"/>
      <c r="C47" s="187"/>
      <c r="D47" s="182"/>
      <c r="E47" s="133"/>
      <c r="F47" s="1167"/>
      <c r="G47" s="813"/>
      <c r="H47" s="803"/>
      <c r="I47" s="217"/>
      <c r="J47" s="217"/>
      <c r="K47" s="217"/>
    </row>
    <row r="48" spans="2:22" x14ac:dyDescent="0.25">
      <c r="B48" s="1654" t="s">
        <v>56</v>
      </c>
      <c r="C48" s="1521">
        <v>1</v>
      </c>
      <c r="D48" s="1364" t="str">
        <f>IFERROR(INDEX(Valores!E:E,MATCH(B48,Valores!C:C,0),1),"")</f>
        <v>Siembra</v>
      </c>
      <c r="E48" s="1365">
        <f>SUMIF(Valores!C:C,B48,Valores!F:F)</f>
        <v>50</v>
      </c>
      <c r="F48" s="1366" t="str">
        <f>IFERROR(INDEX(Valores!G:G,MATCH(B48,Valores!C:C,0),1),"")</f>
        <v>U$S/Ha.</v>
      </c>
      <c r="G48" s="811">
        <f>+E48*C48*$G$6</f>
        <v>75000</v>
      </c>
      <c r="H48" s="798">
        <f>G48/$D$10</f>
        <v>1.7204991741603963</v>
      </c>
      <c r="I48" s="217"/>
      <c r="J48" s="217"/>
      <c r="K48" s="217"/>
      <c r="M48" s="690" t="s">
        <v>137</v>
      </c>
    </row>
    <row r="49" spans="2:22" x14ac:dyDescent="0.25">
      <c r="B49" s="1654" t="s">
        <v>48</v>
      </c>
      <c r="C49" s="1521">
        <v>2</v>
      </c>
      <c r="D49" s="1364" t="str">
        <f>IFERROR(INDEX(Valores!E:E,MATCH(B49,Valores!C:C,0),1),"")</f>
        <v>Aplicaciones</v>
      </c>
      <c r="E49" s="1365">
        <f>SUMIF(Valores!C:C,B49,Valores!F:F)</f>
        <v>8</v>
      </c>
      <c r="F49" s="1366" t="str">
        <f>IFERROR(INDEX(Valores!G:G,MATCH(B49,Valores!C:C,0),1),"")</f>
        <v>U$S/Ha.</v>
      </c>
      <c r="G49" s="811">
        <f t="shared" ref="G49:G50" si="8">+E49*C49*$G$6</f>
        <v>24000</v>
      </c>
      <c r="H49" s="798">
        <f>G49/$D$10</f>
        <v>0.55055973573132688</v>
      </c>
      <c r="I49" s="217"/>
      <c r="J49" s="217"/>
      <c r="K49" s="217"/>
    </row>
    <row r="50" spans="2:22" x14ac:dyDescent="0.25">
      <c r="B50" s="1654" t="s">
        <v>47</v>
      </c>
      <c r="C50" s="1521">
        <v>1</v>
      </c>
      <c r="D50" s="1364" t="str">
        <f>IFERROR(INDEX(Valores!E:E,MATCH(B50,Valores!C:C,0),1),"")</f>
        <v>Aplicaciones</v>
      </c>
      <c r="E50" s="1365">
        <f>SUMIF(Valores!C:C,B50,Valores!F:F)</f>
        <v>14</v>
      </c>
      <c r="F50" s="1366" t="str">
        <f>IFERROR(INDEX(Valores!G:G,MATCH(B50,Valores!C:C,0),1),"")</f>
        <v>U$S/Ha.</v>
      </c>
      <c r="G50" s="811">
        <f t="shared" si="8"/>
        <v>21000</v>
      </c>
      <c r="H50" s="798">
        <f>G50/$D$10</f>
        <v>0.48173976876491098</v>
      </c>
      <c r="I50" s="217"/>
      <c r="J50" s="217"/>
      <c r="K50" s="217"/>
      <c r="M50" s="690" t="s">
        <v>135</v>
      </c>
    </row>
    <row r="51" spans="2:22" ht="14.4" customHeight="1" thickBot="1" x14ac:dyDescent="0.3">
      <c r="B51" s="65" t="s">
        <v>105</v>
      </c>
      <c r="C51" s="173"/>
      <c r="D51" s="174"/>
      <c r="E51" s="1180">
        <f>+G51/G6</f>
        <v>80</v>
      </c>
      <c r="F51" s="1166" t="s">
        <v>95</v>
      </c>
      <c r="G51" s="812">
        <f>SUM(G48:G50)</f>
        <v>120000</v>
      </c>
      <c r="H51" s="802">
        <f>SUM(H48:H50)</f>
        <v>2.7527986786566343</v>
      </c>
      <c r="I51" s="690"/>
      <c r="J51" s="690"/>
      <c r="K51" s="690"/>
      <c r="L51" s="690"/>
      <c r="N51" s="690"/>
      <c r="O51" s="690"/>
      <c r="P51" s="690"/>
      <c r="Q51" s="690"/>
      <c r="R51" s="690"/>
      <c r="S51" s="690"/>
      <c r="T51" s="690"/>
      <c r="U51" s="690"/>
      <c r="V51" s="690"/>
    </row>
    <row r="52" spans="2:22" x14ac:dyDescent="0.25">
      <c r="B52" s="181"/>
      <c r="C52" s="187"/>
      <c r="D52" s="182"/>
      <c r="E52" s="133"/>
      <c r="F52" s="1167"/>
      <c r="G52" s="813"/>
      <c r="H52" s="803"/>
      <c r="I52" s="690"/>
      <c r="J52" s="690"/>
      <c r="K52" s="690"/>
      <c r="L52" s="690"/>
      <c r="N52" s="690"/>
      <c r="O52" s="690"/>
      <c r="P52" s="690"/>
      <c r="Q52" s="690"/>
      <c r="R52" s="690"/>
      <c r="S52" s="690"/>
      <c r="T52" s="690"/>
      <c r="U52" s="690"/>
      <c r="V52" s="690"/>
    </row>
    <row r="53" spans="2:22" ht="13.95" customHeight="1" x14ac:dyDescent="0.25">
      <c r="B53" s="165" t="s">
        <v>106</v>
      </c>
      <c r="C53" s="1525">
        <v>30</v>
      </c>
      <c r="D53" s="695" t="s">
        <v>107</v>
      </c>
      <c r="E53" s="1181">
        <v>3.6299999999999999E-2</v>
      </c>
      <c r="F53" s="1168" t="s">
        <v>72</v>
      </c>
      <c r="G53" s="823">
        <f>+E53*C53*D5</f>
        <v>52272</v>
      </c>
      <c r="H53" s="804">
        <f>G53/$D$10</f>
        <v>1.19911910442283</v>
      </c>
      <c r="I53" s="217"/>
      <c r="J53" s="217"/>
      <c r="K53" s="217"/>
      <c r="M53" s="690" t="s">
        <v>138</v>
      </c>
    </row>
    <row r="54" spans="2:22" ht="13.95" customHeight="1" thickBot="1" x14ac:dyDescent="0.3">
      <c r="B54" s="198"/>
      <c r="C54" s="199"/>
      <c r="D54" s="200"/>
      <c r="E54" s="1182"/>
      <c r="F54" s="1169"/>
      <c r="G54" s="824"/>
      <c r="H54" s="805"/>
      <c r="I54" s="217"/>
      <c r="J54" s="217"/>
      <c r="K54" s="217"/>
    </row>
    <row r="55" spans="2:22" ht="16.2" customHeight="1" thickBot="1" x14ac:dyDescent="0.3">
      <c r="B55" s="225" t="s">
        <v>108</v>
      </c>
      <c r="C55" s="226"/>
      <c r="D55" s="226"/>
      <c r="E55" s="1183">
        <f>+G55/G6</f>
        <v>331.928</v>
      </c>
      <c r="F55" s="680"/>
      <c r="G55" s="755">
        <f>+G53+G45+G51+G37+G43</f>
        <v>497892</v>
      </c>
      <c r="H55" s="825">
        <f>+H53+H45+H51+H43+H37</f>
        <v>11.421636997614241</v>
      </c>
    </row>
    <row r="56" spans="2:22" ht="16.2" customHeight="1" thickBot="1" x14ac:dyDescent="0.3">
      <c r="F56" s="1170"/>
      <c r="G56" s="746"/>
      <c r="M56" s="112" t="s">
        <v>139</v>
      </c>
    </row>
    <row r="57" spans="2:22" ht="16.2" customHeight="1" thickBot="1" x14ac:dyDescent="0.3">
      <c r="B57" s="1708" t="s">
        <v>109</v>
      </c>
      <c r="C57" s="1686"/>
      <c r="D57" s="1687"/>
      <c r="M57" s="690" t="s">
        <v>121</v>
      </c>
    </row>
    <row r="58" spans="2:22" ht="14.4" customHeight="1" thickBot="1" x14ac:dyDescent="0.3">
      <c r="B58" s="808">
        <f>+H59*D10*C58/100</f>
        <v>122057.60000000001</v>
      </c>
      <c r="C58" s="1526">
        <v>8</v>
      </c>
      <c r="D58" s="232" t="s">
        <v>72</v>
      </c>
      <c r="M58" s="690" t="s">
        <v>64</v>
      </c>
    </row>
    <row r="59" spans="2:22" ht="16.95" customHeight="1" thickTop="1" thickBot="1" x14ac:dyDescent="0.3">
      <c r="E59" s="1171"/>
      <c r="F59" s="1171"/>
      <c r="G59" s="109" t="s">
        <v>190</v>
      </c>
      <c r="H59" s="257">
        <f>+RESUMEN!G9</f>
        <v>35</v>
      </c>
      <c r="M59" s="690" t="s">
        <v>73</v>
      </c>
    </row>
    <row r="60" spans="2:22" ht="16.95" customHeight="1" thickTop="1" thickBot="1" x14ac:dyDescent="0.3">
      <c r="B60" s="1708" t="s">
        <v>111</v>
      </c>
      <c r="C60" s="1686"/>
      <c r="D60" s="1687"/>
      <c r="G60" s="314" t="str">
        <f>+'Maíz 2º'!G49</f>
        <v>Equilibrio 26-27 :</v>
      </c>
      <c r="H60" s="315">
        <f>((G55)/(D10-C61-C62))/(100-C58)*100</f>
        <v>12.766252040992148</v>
      </c>
    </row>
    <row r="61" spans="2:22" x14ac:dyDescent="0.25">
      <c r="B61" s="187" t="s">
        <v>113</v>
      </c>
      <c r="C61" s="1524">
        <v>700</v>
      </c>
      <c r="D61" s="232" t="s">
        <v>65</v>
      </c>
      <c r="M61" s="690" t="s">
        <v>108</v>
      </c>
    </row>
    <row r="62" spans="2:22" x14ac:dyDescent="0.25">
      <c r="B62" s="214" t="s">
        <v>115</v>
      </c>
      <c r="C62" s="1524">
        <v>500</v>
      </c>
      <c r="D62" s="232" t="s">
        <v>65</v>
      </c>
    </row>
    <row r="63" spans="2:22" x14ac:dyDescent="0.25">
      <c r="B63" s="122"/>
    </row>
    <row r="64" spans="2:22" ht="16.2" customHeight="1" thickBot="1" x14ac:dyDescent="0.3">
      <c r="G64" s="31"/>
      <c r="H64" s="31"/>
      <c r="M64" s="690" t="s">
        <v>124</v>
      </c>
    </row>
    <row r="65" spans="2:13" ht="18.600000000000001" customHeight="1" thickBot="1" x14ac:dyDescent="0.3">
      <c r="B65" s="1756" t="s">
        <v>140</v>
      </c>
      <c r="C65" s="1706"/>
      <c r="D65" s="1706"/>
      <c r="E65" s="1184">
        <f>+$H$59*D10*(100-$C$58)/100-G55-($C$61+$C$62)*$H$59</f>
        <v>863770.39999999991</v>
      </c>
      <c r="F65" s="1172" t="s">
        <v>117</v>
      </c>
      <c r="G65" s="827">
        <f>+E65/D10</f>
        <v>19.814883464855935</v>
      </c>
      <c r="H65" s="91" t="s">
        <v>77</v>
      </c>
    </row>
    <row r="66" spans="2:13" ht="15.6" customHeight="1" x14ac:dyDescent="0.25">
      <c r="D66" s="37" t="s">
        <v>118</v>
      </c>
      <c r="E66" s="1185">
        <f>+E65/G6</f>
        <v>575.84693333333325</v>
      </c>
      <c r="H66" s="35"/>
      <c r="I66" s="82"/>
      <c r="M66" s="690" t="s">
        <v>70</v>
      </c>
    </row>
    <row r="67" spans="2:13" ht="14.4" customHeight="1" x14ac:dyDescent="0.25">
      <c r="I67" s="711"/>
    </row>
    <row r="68" spans="2:13" ht="13.95" customHeight="1" thickBot="1" x14ac:dyDescent="0.3"/>
    <row r="69" spans="2:13" ht="19.2" customHeight="1" thickTop="1" thickBot="1" x14ac:dyDescent="0.3">
      <c r="B69" s="1702" t="s">
        <v>142</v>
      </c>
      <c r="C69" s="1703"/>
      <c r="D69" s="1703"/>
      <c r="E69" s="1186">
        <f>+TRIGO!E58</f>
        <v>282636.59999999986</v>
      </c>
      <c r="F69" s="1173" t="s">
        <v>117</v>
      </c>
      <c r="G69" s="828">
        <f>+TRIGO!G58</f>
        <v>10.300730725076074</v>
      </c>
      <c r="H69" s="103" t="s">
        <v>77</v>
      </c>
    </row>
    <row r="70" spans="2:13" ht="16.2" customHeight="1" thickTop="1" x14ac:dyDescent="0.25">
      <c r="D70" s="37" t="s">
        <v>118</v>
      </c>
      <c r="E70" s="1185">
        <f>+E69/G6</f>
        <v>188.42439999999991</v>
      </c>
      <c r="F70" s="35"/>
      <c r="I70" s="82"/>
      <c r="J70" s="82"/>
    </row>
    <row r="71" spans="2:13" ht="14.4" customHeight="1" x14ac:dyDescent="0.25">
      <c r="I71" s="711"/>
    </row>
    <row r="72" spans="2:13" ht="13.95" customHeight="1" thickBot="1" x14ac:dyDescent="0.3"/>
    <row r="73" spans="2:13" ht="16.2" customHeight="1" thickBot="1" x14ac:dyDescent="0.3">
      <c r="B73" s="1700" t="s">
        <v>143</v>
      </c>
      <c r="C73" s="1686"/>
      <c r="D73" s="1686"/>
      <c r="E73" s="1687"/>
      <c r="G73" s="714"/>
      <c r="J73" s="244"/>
    </row>
    <row r="74" spans="2:13" ht="13.95" customHeight="1" x14ac:dyDescent="0.25">
      <c r="C74" s="354">
        <f>+RESUMEN!D10</f>
        <v>17</v>
      </c>
      <c r="D74" s="97" t="s">
        <v>144</v>
      </c>
      <c r="E74" s="1187">
        <f>+C74*D5</f>
        <v>816000</v>
      </c>
      <c r="F74" s="1174" t="s">
        <v>117</v>
      </c>
      <c r="G74" s="829">
        <f>+E74/D10</f>
        <v>18.719031014865113</v>
      </c>
      <c r="H74" s="100" t="s">
        <v>77</v>
      </c>
    </row>
    <row r="75" spans="2:13" ht="15.6" customHeight="1" x14ac:dyDescent="0.25">
      <c r="D75" s="37" t="s">
        <v>118</v>
      </c>
      <c r="E75" s="1185">
        <f>+E74/G6</f>
        <v>544</v>
      </c>
      <c r="H75" s="81"/>
    </row>
    <row r="77" spans="2:13" ht="16.2" customHeight="1" thickBot="1" x14ac:dyDescent="0.3">
      <c r="G77" s="31"/>
    </row>
    <row r="78" spans="2:13" ht="19.2" customHeight="1" thickTop="1" thickBot="1" x14ac:dyDescent="0.3">
      <c r="B78" s="355" t="s">
        <v>198</v>
      </c>
      <c r="C78" s="318"/>
      <c r="D78" s="253">
        <f>+E78/(E74+G55+TRIGO!G47)</f>
        <v>0.15645313113425682</v>
      </c>
      <c r="E78" s="1188">
        <f>+E65+E69-E74</f>
        <v>330406.99999999977</v>
      </c>
      <c r="F78" s="1175" t="s">
        <v>117</v>
      </c>
      <c r="G78" s="830">
        <f>+E78/D10</f>
        <v>7.5795329418241826</v>
      </c>
      <c r="H78" s="33" t="s">
        <v>77</v>
      </c>
    </row>
    <row r="79" spans="2:13" ht="16.2" customHeight="1" thickTop="1" x14ac:dyDescent="0.25">
      <c r="D79" s="37" t="s">
        <v>118</v>
      </c>
      <c r="E79" s="1185">
        <f>+E66+E70-E75</f>
        <v>220.27133333333313</v>
      </c>
      <c r="H79" s="35"/>
      <c r="I79" s="82"/>
    </row>
  </sheetData>
  <sheetProtection algorithmName="SHA-512" hashValue="1Ougc4Cz5uka4UhczhDwy1Q2D6MfgIWlHDROnVvoPzM3rtf4PM3vyOWyG2jQjCbd0oDk8wyQTjzGSiKyDsZF4w==" saltValue="XrEIqi7U3WLDs3W9kqN2Tg==" spinCount="100000" sheet="1" objects="1" scenarios="1"/>
  <mergeCells count="8">
    <mergeCell ref="B73:E73"/>
    <mergeCell ref="B60:D60"/>
    <mergeCell ref="B1:H2"/>
    <mergeCell ref="B7:D7"/>
    <mergeCell ref="C14:D14"/>
    <mergeCell ref="B57:D57"/>
    <mergeCell ref="B65:D65"/>
    <mergeCell ref="B69:D69"/>
  </mergeCells>
  <printOptions horizontalCentered="1"/>
  <pageMargins left="0.70866141732283472" right="0.70866141732283472" top="0.74803149606299213" bottom="0.74803149606299213" header="0.31496062992125978" footer="0.31496062992125978"/>
  <pageSetup paperSize="9" scale="86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Seleccionar artículo correcto" promptTitle="Seleccionar artículo" xr:uid="{31B90578-0562-4642-8237-9E73D2099022}">
          <x14:formula1>
            <xm:f>Valores!$C$6:$C$123</xm:f>
          </x14:formula1>
          <xm:sqref>B15:B36 B45 B38:B42 B48:B50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1:AB69"/>
  <sheetViews>
    <sheetView showGridLines="0" zoomScaleNormal="100" workbookViewId="0">
      <pane ySplit="2" topLeftCell="A36" activePane="bottomLeft" state="frozen"/>
      <selection activeCell="K31" sqref="K31"/>
      <selection pane="bottomLeft" activeCell="C53" sqref="C53"/>
    </sheetView>
  </sheetViews>
  <sheetFormatPr baseColWidth="10" defaultColWidth="11.44140625" defaultRowHeight="13.2" x14ac:dyDescent="0.25"/>
  <cols>
    <col min="1" max="1" width="2.5546875" style="261" customWidth="1"/>
    <col min="2" max="2" width="36.88671875" style="261" customWidth="1"/>
    <col min="3" max="3" width="8.6640625" style="261" bestFit="1" customWidth="1"/>
    <col min="4" max="4" width="9.109375" style="261" customWidth="1"/>
    <col min="5" max="5" width="13.33203125" style="261" customWidth="1"/>
    <col min="6" max="6" width="8.6640625" style="261" customWidth="1"/>
    <col min="7" max="7" width="16.44140625" style="261" customWidth="1"/>
    <col min="8" max="8" width="12.5546875" style="690" customWidth="1"/>
    <col min="9" max="12" width="7.6640625" style="690" customWidth="1"/>
    <col min="13" max="13" width="20.109375" style="690" bestFit="1" customWidth="1"/>
    <col min="14" max="14" width="4.44140625" style="690" bestFit="1" customWidth="1"/>
    <col min="15" max="15" width="6.6640625" style="690" bestFit="1" customWidth="1"/>
    <col min="16" max="17" width="6" style="690" bestFit="1" customWidth="1"/>
    <col min="18" max="18" width="4.44140625" style="690" bestFit="1" customWidth="1"/>
    <col min="19" max="19" width="7" style="690" bestFit="1" customWidth="1"/>
    <col min="20" max="20" width="4.88671875" style="690" bestFit="1" customWidth="1"/>
    <col min="21" max="21" width="6.88671875" style="690" bestFit="1" customWidth="1"/>
    <col min="22" max="22" width="4.88671875" style="690" bestFit="1" customWidth="1"/>
    <col min="23" max="23" width="4.88671875" style="261" bestFit="1" customWidth="1"/>
    <col min="24" max="24" width="6.88671875" style="261" bestFit="1" customWidth="1"/>
    <col min="25" max="27" width="11.44140625" style="261" customWidth="1"/>
    <col min="28" max="16384" width="11.44140625" style="261"/>
  </cols>
  <sheetData>
    <row r="1" spans="2:22" ht="12.75" customHeight="1" x14ac:dyDescent="0.25">
      <c r="B1" s="1757" t="s">
        <v>192</v>
      </c>
      <c r="C1" s="1697"/>
      <c r="D1" s="1697"/>
      <c r="E1" s="1697"/>
      <c r="F1" s="1697"/>
      <c r="G1" s="1697"/>
      <c r="H1" s="1697"/>
    </row>
    <row r="2" spans="2:22" ht="12.75" customHeight="1" x14ac:dyDescent="0.25">
      <c r="B2" s="1753"/>
      <c r="C2" s="1697"/>
      <c r="D2" s="1697"/>
      <c r="E2" s="1697"/>
      <c r="F2" s="1697"/>
      <c r="G2" s="1697"/>
      <c r="H2" s="1697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</row>
    <row r="3" spans="2:22" ht="12.75" customHeight="1" x14ac:dyDescent="0.25">
      <c r="B3" s="114"/>
      <c r="C3" s="114"/>
      <c r="D3" s="114"/>
      <c r="E3" s="114"/>
      <c r="F3" s="114"/>
      <c r="I3" s="244"/>
      <c r="J3" s="244"/>
      <c r="K3" s="244"/>
      <c r="L3" s="244"/>
      <c r="M3" s="244"/>
      <c r="N3" s="244"/>
      <c r="O3" s="244"/>
      <c r="P3" s="244"/>
      <c r="Q3" s="244"/>
      <c r="R3" s="244"/>
      <c r="S3" s="244"/>
      <c r="T3" s="244"/>
      <c r="U3" s="244"/>
      <c r="V3" s="244"/>
    </row>
    <row r="4" spans="2:22" ht="12.75" customHeight="1" x14ac:dyDescent="0.25">
      <c r="B4" s="114"/>
      <c r="C4" s="114"/>
      <c r="D4" s="114"/>
      <c r="E4" s="114"/>
      <c r="F4" s="114"/>
      <c r="I4" s="244"/>
      <c r="J4" s="244"/>
      <c r="K4" s="244"/>
      <c r="L4" s="244"/>
      <c r="M4" s="244"/>
      <c r="N4" s="244"/>
      <c r="O4" s="244"/>
      <c r="P4" s="244"/>
      <c r="Q4" s="244"/>
      <c r="R4" s="244"/>
      <c r="S4" s="244"/>
      <c r="T4" s="244"/>
      <c r="U4" s="244"/>
      <c r="V4" s="244"/>
    </row>
    <row r="5" spans="2:22" ht="13.95" customHeight="1" x14ac:dyDescent="0.25">
      <c r="B5" s="123" t="s">
        <v>64</v>
      </c>
      <c r="C5" s="124"/>
      <c r="D5" s="796">
        <f>+RESUMEN!I4</f>
        <v>28500</v>
      </c>
      <c r="E5" s="125" t="s">
        <v>65</v>
      </c>
      <c r="G5" s="300" t="s">
        <v>186</v>
      </c>
      <c r="H5" s="261"/>
      <c r="K5" s="244"/>
      <c r="L5" s="244"/>
      <c r="M5" s="244"/>
      <c r="N5" s="244"/>
      <c r="O5" s="244"/>
      <c r="P5" s="244"/>
      <c r="Q5" s="244"/>
      <c r="R5" s="244"/>
      <c r="S5" s="244"/>
      <c r="T5" s="244"/>
      <c r="U5" s="244"/>
      <c r="V5" s="244"/>
    </row>
    <row r="6" spans="2:22" ht="13.95" customHeight="1" thickBot="1" x14ac:dyDescent="0.3">
      <c r="G6" s="457">
        <f>+TRIGO!G6</f>
        <v>1500</v>
      </c>
      <c r="H6" s="6" t="s">
        <v>187</v>
      </c>
      <c r="I6" s="261"/>
      <c r="J6" s="261"/>
      <c r="K6" s="244"/>
    </row>
    <row r="7" spans="2:22" ht="17.399999999999999" customHeight="1" thickBot="1" x14ac:dyDescent="0.3">
      <c r="B7" s="1685" t="s">
        <v>68</v>
      </c>
      <c r="C7" s="1686"/>
      <c r="D7" s="1687"/>
      <c r="H7" s="261"/>
      <c r="I7" s="261"/>
      <c r="J7" s="261"/>
      <c r="K7" s="261"/>
      <c r="L7" s="112"/>
      <c r="M7" s="112"/>
      <c r="N7" s="112"/>
      <c r="O7" s="112"/>
      <c r="P7" s="112"/>
      <c r="Q7" s="112"/>
      <c r="R7" s="112"/>
      <c r="S7" s="112"/>
      <c r="T7" s="112"/>
      <c r="U7" s="112"/>
      <c r="V7" s="112"/>
    </row>
    <row r="8" spans="2:22" x14ac:dyDescent="0.25">
      <c r="B8" s="187" t="s">
        <v>70</v>
      </c>
      <c r="C8" s="133"/>
      <c r="D8" s="133">
        <f>+RESUMEN!Q14</f>
        <v>3400</v>
      </c>
      <c r="E8" s="134" t="s">
        <v>65</v>
      </c>
      <c r="H8" s="261"/>
      <c r="I8" s="261"/>
      <c r="J8" s="261"/>
      <c r="K8" s="261"/>
    </row>
    <row r="9" spans="2:22" x14ac:dyDescent="0.25">
      <c r="B9" s="187" t="s">
        <v>71</v>
      </c>
      <c r="C9" s="136"/>
      <c r="D9" s="1656">
        <v>2.1000000000000001E-2</v>
      </c>
      <c r="E9" s="232" t="s">
        <v>72</v>
      </c>
      <c r="H9" s="261"/>
      <c r="I9" s="261"/>
      <c r="J9" s="261"/>
      <c r="K9" s="261"/>
      <c r="L9" s="244"/>
      <c r="M9" s="244"/>
      <c r="N9" s="244"/>
      <c r="O9" s="244"/>
      <c r="P9" s="244"/>
      <c r="Q9" s="244"/>
      <c r="R9" s="244"/>
      <c r="S9" s="244"/>
      <c r="T9" s="244"/>
      <c r="U9" s="244"/>
      <c r="V9" s="244"/>
    </row>
    <row r="10" spans="2:22" x14ac:dyDescent="0.25">
      <c r="B10" s="137" t="s">
        <v>73</v>
      </c>
      <c r="C10" s="138"/>
      <c r="D10" s="138">
        <f>+D5*(1-D9)-D8</f>
        <v>24501.5</v>
      </c>
      <c r="E10" s="134" t="s">
        <v>65</v>
      </c>
      <c r="I10" s="244"/>
      <c r="J10" s="244"/>
      <c r="K10" s="244"/>
      <c r="L10" s="244"/>
      <c r="M10" s="244"/>
      <c r="N10" s="244"/>
      <c r="O10" s="244"/>
      <c r="P10" s="244"/>
      <c r="Q10" s="244"/>
      <c r="R10" s="244"/>
      <c r="S10" s="244"/>
      <c r="T10" s="244"/>
      <c r="U10" s="244"/>
      <c r="V10" s="244"/>
    </row>
    <row r="11" spans="2:22" x14ac:dyDescent="0.25">
      <c r="B11" s="215"/>
      <c r="C11" s="230"/>
      <c r="D11" s="230"/>
      <c r="E11" s="135"/>
      <c r="I11" s="244"/>
      <c r="J11" s="244"/>
      <c r="K11" s="244"/>
      <c r="L11" s="244"/>
      <c r="M11" s="244"/>
      <c r="N11" s="244"/>
      <c r="O11" s="244"/>
      <c r="P11" s="244"/>
      <c r="Q11" s="244"/>
      <c r="R11" s="244"/>
      <c r="S11" s="244"/>
      <c r="T11" s="244"/>
      <c r="U11" s="244"/>
      <c r="V11" s="244"/>
    </row>
    <row r="12" spans="2:22" ht="13.95" customHeight="1" thickBot="1" x14ac:dyDescent="0.3">
      <c r="I12" s="244"/>
      <c r="J12" s="244"/>
      <c r="K12" s="244"/>
      <c r="L12" s="244"/>
      <c r="M12" s="244"/>
      <c r="N12" s="244"/>
      <c r="O12" s="244"/>
      <c r="P12" s="244"/>
      <c r="Q12" s="244"/>
      <c r="R12" s="244"/>
      <c r="S12" s="244"/>
      <c r="T12" s="244"/>
      <c r="U12" s="244"/>
      <c r="V12" s="244"/>
    </row>
    <row r="13" spans="2:22" ht="17.399999999999999" customHeight="1" thickBot="1" x14ac:dyDescent="0.3">
      <c r="B13" s="53" t="s">
        <v>148</v>
      </c>
      <c r="C13" s="703"/>
      <c r="D13" s="704"/>
      <c r="E13" s="141" t="s">
        <v>149</v>
      </c>
      <c r="F13" s="142"/>
      <c r="G13" s="320" t="s">
        <v>76</v>
      </c>
      <c r="H13" s="146" t="s">
        <v>77</v>
      </c>
      <c r="I13" s="244"/>
      <c r="J13" s="244"/>
      <c r="K13" s="244"/>
      <c r="L13" s="244"/>
      <c r="M13" s="244"/>
      <c r="N13" s="244"/>
      <c r="O13" s="244"/>
      <c r="P13" s="244"/>
      <c r="Q13" s="244"/>
      <c r="R13" s="244"/>
      <c r="S13" s="244"/>
      <c r="T13" s="244"/>
      <c r="U13" s="244"/>
      <c r="V13" s="244"/>
    </row>
    <row r="14" spans="2:22" ht="13.95" customHeight="1" thickBot="1" x14ac:dyDescent="0.3">
      <c r="B14" s="147" t="s">
        <v>78</v>
      </c>
      <c r="C14" s="1689" t="s">
        <v>150</v>
      </c>
      <c r="D14" s="1681"/>
      <c r="E14" s="149" t="s">
        <v>188</v>
      </c>
      <c r="F14" s="150" t="s">
        <v>82</v>
      </c>
      <c r="G14" s="151" t="s">
        <v>188</v>
      </c>
      <c r="H14" s="353" t="s">
        <v>188</v>
      </c>
      <c r="I14" s="244"/>
      <c r="J14" s="244"/>
      <c r="K14" s="244"/>
      <c r="L14" s="244"/>
      <c r="M14" s="244"/>
      <c r="N14" s="244"/>
      <c r="O14" s="244"/>
      <c r="P14" s="244"/>
      <c r="Q14" s="244"/>
      <c r="R14" s="244"/>
      <c r="S14" s="244"/>
      <c r="T14" s="244"/>
      <c r="U14" s="244"/>
      <c r="V14" s="244"/>
    </row>
    <row r="15" spans="2:22" s="1199" customFormat="1" ht="13.95" customHeight="1" x14ac:dyDescent="0.25">
      <c r="B15" s="1653" t="s">
        <v>1095</v>
      </c>
      <c r="C15" s="1520">
        <v>1</v>
      </c>
      <c r="D15" s="1360" t="str">
        <f>IFERROR(INDEX(Valores!E:E,MATCH(B15,Valores!C:C,0),1),"")</f>
        <v>Lts/Ha.</v>
      </c>
      <c r="E15" s="1361">
        <f>SUMIF(Valores!C:C,B15,Valores!F:F)</f>
        <v>3.5</v>
      </c>
      <c r="F15" s="1386" t="str">
        <f>IFERROR(INDEX(Valores!G:G,MATCH(B15,Valores!C:C,0),1),"")</f>
        <v>U$S/Lts.</v>
      </c>
      <c r="G15" s="855">
        <f t="shared" ref="G15:G24" si="0">+E15*C15*$G$6</f>
        <v>5250</v>
      </c>
      <c r="H15" s="856">
        <f t="shared" ref="H15:H24" si="1">G15/$D$10</f>
        <v>0.21427259555537417</v>
      </c>
      <c r="I15" s="1198"/>
      <c r="J15" s="1198"/>
      <c r="K15" s="1198"/>
      <c r="L15" s="1198"/>
      <c r="M15" s="1198"/>
      <c r="N15" s="1198"/>
      <c r="O15" s="1198"/>
      <c r="P15" s="1198"/>
      <c r="Q15" s="1198"/>
      <c r="R15" s="1198"/>
      <c r="S15" s="1198"/>
      <c r="T15" s="1198"/>
      <c r="U15" s="1198"/>
      <c r="V15" s="1198"/>
    </row>
    <row r="16" spans="2:22" s="1199" customFormat="1" ht="13.95" customHeight="1" x14ac:dyDescent="0.25">
      <c r="B16" s="1654"/>
      <c r="C16" s="1521"/>
      <c r="D16" s="1364" t="str">
        <f>IFERROR(INDEX(Valores!E:E,MATCH(B16,Valores!C:C,0),1),"")</f>
        <v/>
      </c>
      <c r="E16" s="1365">
        <f>SUMIF(Valores!C:C,B16,Valores!F:F)</f>
        <v>0</v>
      </c>
      <c r="F16" s="1387" t="str">
        <f>IFERROR(INDEX(Valores!G:G,MATCH(B16,Valores!C:C,0),1),"")</f>
        <v/>
      </c>
      <c r="G16" s="811">
        <f t="shared" si="0"/>
        <v>0</v>
      </c>
      <c r="H16" s="798">
        <f t="shared" si="1"/>
        <v>0</v>
      </c>
      <c r="I16" s="1198"/>
      <c r="J16" s="1198"/>
      <c r="K16" s="1198"/>
      <c r="L16" s="1198"/>
      <c r="M16" s="1198"/>
      <c r="N16" s="1198"/>
      <c r="O16" s="1198"/>
      <c r="P16" s="1198"/>
      <c r="Q16" s="1198"/>
      <c r="R16" s="1198"/>
      <c r="S16" s="1198"/>
      <c r="T16" s="1198"/>
      <c r="U16" s="1198"/>
      <c r="V16" s="1198"/>
    </row>
    <row r="17" spans="2:28" x14ac:dyDescent="0.25">
      <c r="B17" s="1654"/>
      <c r="C17" s="1521"/>
      <c r="D17" s="1364" t="str">
        <f>IFERROR(INDEX(Valores!E:E,MATCH(B17,Valores!C:C,0),1),"")</f>
        <v/>
      </c>
      <c r="E17" s="1365">
        <f>SUMIF(Valores!C:C,B17,Valores!F:F)</f>
        <v>0</v>
      </c>
      <c r="F17" s="1387" t="str">
        <f>IFERROR(INDEX(Valores!G:G,MATCH(B17,Valores!C:C,0),1),"")</f>
        <v/>
      </c>
      <c r="G17" s="811">
        <f t="shared" si="0"/>
        <v>0</v>
      </c>
      <c r="H17" s="798">
        <f t="shared" si="1"/>
        <v>0</v>
      </c>
      <c r="M17" s="244"/>
      <c r="N17" s="244"/>
      <c r="O17" s="244"/>
      <c r="P17" s="244"/>
      <c r="Q17" s="244"/>
      <c r="R17" s="244"/>
      <c r="S17" s="244"/>
      <c r="T17" s="244"/>
      <c r="U17" s="244"/>
      <c r="V17" s="244"/>
      <c r="W17" s="244"/>
      <c r="X17" s="244"/>
      <c r="Y17" s="244"/>
      <c r="Z17" s="244"/>
      <c r="AA17" s="244"/>
      <c r="AB17" s="244"/>
    </row>
    <row r="18" spans="2:28" x14ac:dyDescent="0.25">
      <c r="B18" s="1654"/>
      <c r="C18" s="1521"/>
      <c r="D18" s="1364" t="str">
        <f>IFERROR(INDEX(Valores!E:E,MATCH(B18,Valores!C:C,0),1),"")</f>
        <v/>
      </c>
      <c r="E18" s="1365">
        <f>SUMIF(Valores!C:C,B18,Valores!F:F)</f>
        <v>0</v>
      </c>
      <c r="F18" s="1387" t="str">
        <f>IFERROR(INDEX(Valores!G:G,MATCH(B18,Valores!C:C,0),1),"")</f>
        <v/>
      </c>
      <c r="G18" s="811">
        <f t="shared" si="0"/>
        <v>0</v>
      </c>
      <c r="H18" s="798">
        <f t="shared" si="1"/>
        <v>0</v>
      </c>
      <c r="M18" s="244"/>
      <c r="N18" s="244"/>
      <c r="O18" s="244"/>
      <c r="P18" s="244"/>
      <c r="Q18" s="244"/>
      <c r="R18" s="244"/>
      <c r="S18" s="244"/>
      <c r="T18" s="244"/>
      <c r="U18" s="244"/>
      <c r="V18" s="244"/>
      <c r="W18" s="244"/>
      <c r="X18" s="244"/>
      <c r="Y18" s="244"/>
      <c r="Z18" s="244"/>
      <c r="AA18" s="244"/>
      <c r="AB18" s="244"/>
    </row>
    <row r="19" spans="2:28" x14ac:dyDescent="0.25">
      <c r="B19" s="1654" t="s">
        <v>1205</v>
      </c>
      <c r="C19" s="1521">
        <v>1.7</v>
      </c>
      <c r="D19" s="1364" t="str">
        <f>IFERROR(INDEX(Valores!E:E,MATCH(B19,Valores!C:C,0),1),"")</f>
        <v>Kg/Ha.</v>
      </c>
      <c r="E19" s="1365">
        <f>SUMIF(Valores!C:C,B19,Valores!F:F)</f>
        <v>6.1</v>
      </c>
      <c r="F19" s="1387" t="str">
        <f>IFERROR(INDEX(Valores!G:G,MATCH(B19,Valores!C:C,0),1),"")</f>
        <v>U$S/Kg.</v>
      </c>
      <c r="G19" s="811">
        <f t="shared" si="0"/>
        <v>15554.999999999998</v>
      </c>
      <c r="H19" s="798">
        <f t="shared" si="1"/>
        <v>0.63485909025977993</v>
      </c>
      <c r="M19" s="244"/>
      <c r="N19" s="244"/>
      <c r="O19" s="244"/>
      <c r="P19" s="244"/>
      <c r="Q19" s="244"/>
      <c r="R19" s="244"/>
      <c r="S19" s="244"/>
      <c r="T19" s="244"/>
      <c r="U19" s="244"/>
      <c r="V19" s="244"/>
      <c r="W19" s="244"/>
      <c r="X19" s="244"/>
      <c r="Y19" s="244"/>
      <c r="Z19" s="244"/>
      <c r="AA19" s="244"/>
      <c r="AB19" s="244"/>
    </row>
    <row r="20" spans="2:28" x14ac:dyDescent="0.25">
      <c r="B20" s="1654" t="s">
        <v>1198</v>
      </c>
      <c r="C20" s="1521">
        <v>2.5</v>
      </c>
      <c r="D20" s="1364" t="str">
        <f>IFERROR(INDEX(Valores!E:E,MATCH(B20,Valores!C:C,0),1),"")</f>
        <v>Lts/Ha.</v>
      </c>
      <c r="E20" s="1365">
        <f>SUMIF(Valores!C:C,B20,Valores!F:F)</f>
        <v>4.3</v>
      </c>
      <c r="F20" s="1387" t="str">
        <f>IFERROR(INDEX(Valores!G:G,MATCH(B20,Valores!C:C,0),1),"")</f>
        <v>U$S/Lts.</v>
      </c>
      <c r="G20" s="811">
        <f t="shared" si="0"/>
        <v>16125</v>
      </c>
      <c r="H20" s="798">
        <f t="shared" si="1"/>
        <v>0.65812297206293491</v>
      </c>
      <c r="M20" s="244"/>
      <c r="N20" s="244"/>
      <c r="O20" s="244"/>
      <c r="P20" s="244"/>
      <c r="Q20" s="244"/>
      <c r="R20" s="244"/>
      <c r="S20" s="244"/>
      <c r="T20" s="244"/>
      <c r="U20" s="244"/>
      <c r="V20" s="244"/>
      <c r="W20" s="244"/>
      <c r="X20" s="244"/>
      <c r="Y20" s="244"/>
      <c r="Z20" s="244"/>
      <c r="AA20" s="244"/>
      <c r="AB20" s="244"/>
    </row>
    <row r="21" spans="2:28" x14ac:dyDescent="0.25">
      <c r="B21" s="1654" t="s">
        <v>1200</v>
      </c>
      <c r="C21" s="1521">
        <v>0.04</v>
      </c>
      <c r="D21" s="1364" t="str">
        <f>IFERROR(INDEX(Valores!E:E,MATCH(B21,Valores!C:C,0),1),"")</f>
        <v>Kg/Ha.</v>
      </c>
      <c r="E21" s="1365">
        <f>SUMIF(Valores!C:C,B21,Valores!F:F)</f>
        <v>305</v>
      </c>
      <c r="F21" s="1387" t="str">
        <f>IFERROR(INDEX(Valores!G:G,MATCH(B21,Valores!C:C,0),1),"")</f>
        <v>U$S/Kg.</v>
      </c>
      <c r="G21" s="811">
        <f t="shared" si="0"/>
        <v>18300</v>
      </c>
      <c r="H21" s="798">
        <f t="shared" si="1"/>
        <v>0.74689304736444706</v>
      </c>
      <c r="M21" s="244"/>
      <c r="N21" s="244"/>
      <c r="O21" s="244"/>
      <c r="P21" s="244"/>
      <c r="Q21" s="244"/>
      <c r="R21" s="244"/>
      <c r="S21" s="244"/>
      <c r="T21" s="244"/>
      <c r="U21" s="244"/>
      <c r="V21" s="244"/>
      <c r="W21" s="244"/>
      <c r="X21" s="244"/>
      <c r="Y21" s="244"/>
      <c r="Z21" s="244"/>
      <c r="AA21" s="244"/>
      <c r="AB21" s="244"/>
    </row>
    <row r="22" spans="2:28" x14ac:dyDescent="0.25">
      <c r="B22" s="1654" t="s">
        <v>1197</v>
      </c>
      <c r="C22" s="1521">
        <v>2.5</v>
      </c>
      <c r="D22" s="1364" t="str">
        <f>IFERROR(INDEX(Valores!E:E,MATCH(B22,Valores!C:C,0),1),"")</f>
        <v>Lts/Ha.</v>
      </c>
      <c r="E22" s="1365">
        <f>SUMIF(Valores!C:C,B22,Valores!F:F)</f>
        <v>4.6500000000000004</v>
      </c>
      <c r="F22" s="1387" t="str">
        <f>IFERROR(INDEX(Valores!G:G,MATCH(B22,Valores!C:C,0),1),"")</f>
        <v>U$S/Lts.</v>
      </c>
      <c r="G22" s="811">
        <f t="shared" si="0"/>
        <v>17437.5</v>
      </c>
      <c r="H22" s="798">
        <f t="shared" si="1"/>
        <v>0.71169112095177844</v>
      </c>
      <c r="M22" s="244"/>
      <c r="N22" s="244"/>
      <c r="O22" s="244"/>
      <c r="P22" s="244"/>
      <c r="Q22" s="244"/>
      <c r="R22" s="244"/>
      <c r="S22" s="244"/>
      <c r="T22" s="244"/>
      <c r="U22" s="244"/>
      <c r="V22" s="244"/>
      <c r="W22" s="244"/>
      <c r="X22" s="244"/>
      <c r="Y22" s="244"/>
      <c r="Z22" s="244"/>
      <c r="AA22" s="244"/>
      <c r="AB22" s="244"/>
    </row>
    <row r="23" spans="2:28" x14ac:dyDescent="0.25">
      <c r="B23" s="1654" t="s">
        <v>1209</v>
      </c>
      <c r="C23" s="1521">
        <v>0.1</v>
      </c>
      <c r="D23" s="1364" t="str">
        <f>IFERROR(INDEX(Valores!E:E,MATCH(B23,Valores!C:C,0),1),"")</f>
        <v>Lts/Ha.</v>
      </c>
      <c r="E23" s="1365">
        <f>SUMIF(Valores!C:C,B23,Valores!F:F)</f>
        <v>305</v>
      </c>
      <c r="F23" s="1387" t="str">
        <f>IFERROR(INDEX(Valores!G:G,MATCH(B23,Valores!C:C,0),1),"")</f>
        <v>U$S/Lts.</v>
      </c>
      <c r="G23" s="811">
        <f t="shared" si="0"/>
        <v>45750</v>
      </c>
      <c r="H23" s="798">
        <f t="shared" si="1"/>
        <v>1.8672326184111177</v>
      </c>
      <c r="M23" s="244"/>
      <c r="N23" s="244"/>
      <c r="O23" s="244"/>
      <c r="P23" s="244"/>
      <c r="Q23" s="244"/>
      <c r="R23" s="244"/>
      <c r="S23" s="244"/>
      <c r="T23" s="244"/>
      <c r="U23" s="244"/>
      <c r="V23" s="244"/>
      <c r="W23" s="244"/>
      <c r="X23" s="244"/>
      <c r="Y23" s="244"/>
      <c r="Z23" s="244"/>
      <c r="AA23" s="244"/>
      <c r="AB23" s="244"/>
    </row>
    <row r="24" spans="2:28" x14ac:dyDescent="0.25">
      <c r="B24" s="1654"/>
      <c r="C24" s="1521"/>
      <c r="D24" s="1364" t="str">
        <f>IFERROR(INDEX(Valores!E:E,MATCH(B24,Valores!C:C,0),1),"")</f>
        <v/>
      </c>
      <c r="E24" s="1365">
        <f>SUMIF(Valores!C:C,B24,Valores!F:F)</f>
        <v>0</v>
      </c>
      <c r="F24" s="1387" t="str">
        <f>IFERROR(INDEX(Valores!G:G,MATCH(B24,Valores!C:C,0),1),"")</f>
        <v/>
      </c>
      <c r="G24" s="811">
        <f t="shared" si="0"/>
        <v>0</v>
      </c>
      <c r="H24" s="798">
        <f t="shared" si="1"/>
        <v>0</v>
      </c>
      <c r="M24" s="244"/>
      <c r="N24" s="244"/>
      <c r="O24" s="244"/>
      <c r="P24" s="244"/>
      <c r="Q24" s="244"/>
      <c r="R24" s="244"/>
      <c r="S24" s="244"/>
      <c r="T24" s="244"/>
      <c r="U24" s="244"/>
      <c r="V24" s="244"/>
      <c r="W24" s="244"/>
      <c r="X24" s="244"/>
      <c r="Y24" s="244"/>
      <c r="Z24" s="244"/>
      <c r="AA24" s="244"/>
      <c r="AB24" s="244"/>
    </row>
    <row r="25" spans="2:28" x14ac:dyDescent="0.25">
      <c r="B25" s="1654"/>
      <c r="C25" s="1521"/>
      <c r="D25" s="1364" t="str">
        <f>IFERROR(INDEX(Valores!E:E,MATCH(B25,Valores!C:C,0),1),"")</f>
        <v/>
      </c>
      <c r="E25" s="1365">
        <f>SUMIF(Valores!C:C,B25,Valores!F:F)</f>
        <v>0</v>
      </c>
      <c r="F25" s="1387" t="str">
        <f>IFERROR(INDEX(Valores!G:G,MATCH(B25,Valores!C:C,0),1),"")</f>
        <v/>
      </c>
      <c r="G25" s="811">
        <f t="shared" ref="G25:G30" si="2">+E25*C25*$G$6</f>
        <v>0</v>
      </c>
      <c r="H25" s="798">
        <f t="shared" ref="H25:H30" si="3">G25/$D$10</f>
        <v>0</v>
      </c>
      <c r="M25" s="244"/>
      <c r="N25" s="244"/>
      <c r="O25" s="244"/>
      <c r="P25" s="244"/>
      <c r="Q25" s="244"/>
      <c r="R25" s="244"/>
      <c r="S25" s="244"/>
      <c r="T25" s="244"/>
      <c r="U25" s="244"/>
      <c r="V25" s="244"/>
      <c r="W25" s="244"/>
      <c r="X25" s="244"/>
      <c r="Y25" s="244"/>
      <c r="Z25" s="244"/>
      <c r="AA25" s="244"/>
      <c r="AB25" s="244"/>
    </row>
    <row r="26" spans="2:28" ht="14.4" customHeight="1" x14ac:dyDescent="0.25">
      <c r="B26" s="1654" t="s">
        <v>1202</v>
      </c>
      <c r="C26" s="1521">
        <v>0.18</v>
      </c>
      <c r="D26" s="1364" t="str">
        <f>IFERROR(INDEX(Valores!E:E,MATCH(B26,Valores!C:C,0),1),"")</f>
        <v>Lts/Ha.</v>
      </c>
      <c r="E26" s="1365">
        <f>SUMIF(Valores!C:C,B26,Valores!F:F)</f>
        <v>84</v>
      </c>
      <c r="F26" s="1387" t="str">
        <f>IFERROR(INDEX(Valores!G:G,MATCH(B26,Valores!C:C,0),1),"")</f>
        <v>U$S/Lts.</v>
      </c>
      <c r="G26" s="811">
        <f t="shared" si="2"/>
        <v>22680</v>
      </c>
      <c r="H26" s="798">
        <f t="shared" si="3"/>
        <v>0.92565761279921632</v>
      </c>
      <c r="M26" s="244"/>
      <c r="N26" s="244"/>
      <c r="O26" s="244"/>
      <c r="P26" s="244"/>
      <c r="Q26" s="244"/>
      <c r="R26" s="244"/>
      <c r="S26" s="244"/>
      <c r="T26" s="244"/>
      <c r="U26" s="244"/>
      <c r="V26" s="244"/>
      <c r="W26" s="244"/>
      <c r="X26" s="244"/>
      <c r="Y26" s="244"/>
      <c r="Z26" s="244"/>
      <c r="AA26" s="244"/>
      <c r="AB26" s="244"/>
    </row>
    <row r="27" spans="2:28" x14ac:dyDescent="0.25">
      <c r="B27" s="1654" t="s">
        <v>1210</v>
      </c>
      <c r="C27" s="1521">
        <v>1.6</v>
      </c>
      <c r="D27" s="1364" t="str">
        <f>IFERROR(INDEX(Valores!E:E,MATCH(B27,Valores!C:C,0),1),"")</f>
        <v>Kg/Ha.</v>
      </c>
      <c r="E27" s="1365">
        <f>SUMIF(Valores!C:C,B27,Valores!F:F)</f>
        <v>6.95</v>
      </c>
      <c r="F27" s="1387" t="str">
        <f>IFERROR(INDEX(Valores!G:G,MATCH(B27,Valores!C:C,0),1),"")</f>
        <v>U$S/Kg.</v>
      </c>
      <c r="G27" s="811">
        <f t="shared" si="2"/>
        <v>16680</v>
      </c>
      <c r="H27" s="798">
        <f t="shared" si="3"/>
        <v>0.68077464645021735</v>
      </c>
      <c r="I27" s="244"/>
      <c r="J27" s="244"/>
      <c r="K27" s="244"/>
      <c r="L27" s="244"/>
      <c r="M27" s="244"/>
      <c r="N27" s="244"/>
      <c r="O27" s="244"/>
      <c r="P27" s="244"/>
      <c r="Q27" s="244"/>
      <c r="R27" s="244"/>
      <c r="S27" s="244"/>
      <c r="T27" s="244"/>
      <c r="U27" s="244"/>
      <c r="V27" s="244"/>
      <c r="W27" s="244"/>
      <c r="X27" s="244"/>
      <c r="Y27" s="244"/>
      <c r="Z27" s="244"/>
      <c r="AA27" s="244"/>
      <c r="AB27" s="244"/>
    </row>
    <row r="28" spans="2:28" x14ac:dyDescent="0.25">
      <c r="B28" s="1654"/>
      <c r="C28" s="1521"/>
      <c r="D28" s="1364" t="str">
        <f>IFERROR(INDEX(Valores!E:E,MATCH(B28,Valores!C:C,0),1),"")</f>
        <v/>
      </c>
      <c r="E28" s="1365">
        <f>SUMIF(Valores!C:C,B28,Valores!F:F)</f>
        <v>0</v>
      </c>
      <c r="F28" s="1387" t="str">
        <f>IFERROR(INDEX(Valores!G:G,MATCH(B28,Valores!C:C,0),1),"")</f>
        <v/>
      </c>
      <c r="G28" s="811">
        <f t="shared" si="2"/>
        <v>0</v>
      </c>
      <c r="H28" s="798">
        <f t="shared" si="3"/>
        <v>0</v>
      </c>
      <c r="I28" s="244"/>
      <c r="J28" s="244"/>
      <c r="K28" s="244"/>
      <c r="L28" s="244"/>
      <c r="M28" s="244"/>
      <c r="N28" s="244"/>
      <c r="O28" s="244"/>
      <c r="P28" s="244"/>
      <c r="Q28" s="244"/>
      <c r="R28" s="244"/>
      <c r="S28" s="244"/>
      <c r="T28" s="244"/>
      <c r="U28" s="244"/>
      <c r="V28" s="244"/>
      <c r="W28" s="244"/>
      <c r="X28" s="244"/>
      <c r="Y28" s="244"/>
      <c r="Z28" s="244"/>
      <c r="AA28" s="244"/>
      <c r="AB28" s="244"/>
    </row>
    <row r="29" spans="2:28" x14ac:dyDescent="0.25">
      <c r="B29" s="1654"/>
      <c r="C29" s="1521"/>
      <c r="D29" s="1364" t="str">
        <f>IFERROR(INDEX(Valores!E:E,MATCH(B29,Valores!C:C,0),1),"")</f>
        <v/>
      </c>
      <c r="E29" s="1365">
        <f>SUMIF(Valores!C:C,B29,Valores!F:F)</f>
        <v>0</v>
      </c>
      <c r="F29" s="1387" t="str">
        <f>IFERROR(INDEX(Valores!G:G,MATCH(B29,Valores!C:C,0),1),"")</f>
        <v/>
      </c>
      <c r="G29" s="811">
        <f t="shared" si="2"/>
        <v>0</v>
      </c>
      <c r="H29" s="798">
        <f t="shared" si="3"/>
        <v>0</v>
      </c>
      <c r="I29" s="244"/>
      <c r="J29" s="244"/>
      <c r="K29" s="244"/>
      <c r="L29" s="244"/>
      <c r="M29" s="244"/>
      <c r="N29" s="244"/>
      <c r="O29" s="244"/>
      <c r="P29" s="244"/>
      <c r="Q29" s="244"/>
      <c r="R29" s="244"/>
      <c r="S29" s="244"/>
      <c r="T29" s="244"/>
      <c r="U29" s="244"/>
      <c r="V29" s="244"/>
    </row>
    <row r="30" spans="2:28" x14ac:dyDescent="0.25">
      <c r="B30" s="1654"/>
      <c r="C30" s="1521"/>
      <c r="D30" s="1364" t="str">
        <f>IFERROR(INDEX(Valores!E:E,MATCH(B30,Valores!C:C,0),1),"")</f>
        <v/>
      </c>
      <c r="E30" s="1365">
        <f>SUMIF(Valores!C:C,B30,Valores!F:F)</f>
        <v>0</v>
      </c>
      <c r="F30" s="1387" t="str">
        <f>IFERROR(INDEX(Valores!G:G,MATCH(B30,Valores!C:C,0),1),"")</f>
        <v/>
      </c>
      <c r="G30" s="811">
        <f t="shared" si="2"/>
        <v>0</v>
      </c>
      <c r="H30" s="798">
        <f t="shared" si="3"/>
        <v>0</v>
      </c>
      <c r="I30" s="244"/>
      <c r="J30" s="244"/>
      <c r="K30" s="244"/>
      <c r="L30" s="244"/>
      <c r="M30" s="244"/>
      <c r="N30" s="244"/>
      <c r="O30" s="244"/>
      <c r="P30" s="244"/>
      <c r="Q30" s="244"/>
      <c r="R30" s="244"/>
      <c r="S30" s="244"/>
      <c r="T30" s="244"/>
      <c r="U30" s="244"/>
      <c r="V30" s="244"/>
    </row>
    <row r="31" spans="2:28" ht="14.4" customHeight="1" thickBot="1" x14ac:dyDescent="0.3">
      <c r="B31" s="1442" t="s">
        <v>100</v>
      </c>
      <c r="C31" s="1620"/>
      <c r="D31" s="1604"/>
      <c r="E31" s="1621">
        <f>+G31/$G$6</f>
        <v>105.185</v>
      </c>
      <c r="F31" s="1622" t="s">
        <v>95</v>
      </c>
      <c r="G31" s="1450">
        <f>SUM(G15:G30)</f>
        <v>157777.5</v>
      </c>
      <c r="H31" s="1451">
        <f>SUM(H15:H30)</f>
        <v>6.4395037038548653</v>
      </c>
    </row>
    <row r="32" spans="2:28" x14ac:dyDescent="0.25">
      <c r="B32" s="157"/>
      <c r="C32" s="1625"/>
      <c r="D32" s="1458"/>
      <c r="E32" s="1555"/>
      <c r="F32" s="1556"/>
      <c r="G32" s="1461"/>
      <c r="H32" s="856"/>
      <c r="I32" s="244"/>
      <c r="J32" s="244"/>
      <c r="K32" s="244"/>
      <c r="L32" s="244"/>
      <c r="M32" s="244"/>
      <c r="N32" s="244"/>
      <c r="O32" s="244"/>
      <c r="P32" s="244"/>
      <c r="Q32" s="244"/>
      <c r="R32" s="244"/>
      <c r="S32" s="244"/>
      <c r="T32" s="244"/>
      <c r="U32" s="244"/>
      <c r="V32" s="244"/>
    </row>
    <row r="33" spans="2:22" ht="14.4" customHeight="1" x14ac:dyDescent="0.25">
      <c r="B33" s="1654" t="s">
        <v>38</v>
      </c>
      <c r="C33" s="1521">
        <v>1</v>
      </c>
      <c r="D33" s="1377" t="str">
        <f>IFERROR(INDEX(Valores!E:E,MATCH(B33,Valores!C:C,0),1),"")</f>
        <v>bls./Ha.</v>
      </c>
      <c r="E33" s="1623">
        <f>SUMIF(Valores!C:C,B33,Valores!F:F)</f>
        <v>190</v>
      </c>
      <c r="F33" s="1624" t="str">
        <f>IFERROR(INDEX(Valores!G:G,MATCH(B33,Valores!C:C,0),1),"")</f>
        <v>U$S/bls.</v>
      </c>
      <c r="G33" s="1557">
        <f>+E33*C33*$G$6</f>
        <v>285000</v>
      </c>
      <c r="H33" s="1558">
        <f>G33/$D$10</f>
        <v>11.631940901577455</v>
      </c>
      <c r="I33" s="244"/>
      <c r="J33" s="244"/>
      <c r="K33" s="244"/>
      <c r="L33" s="244"/>
      <c r="M33" s="244"/>
      <c r="N33" s="244"/>
      <c r="O33" s="244"/>
      <c r="P33" s="244"/>
      <c r="Q33" s="244"/>
      <c r="R33" s="244"/>
      <c r="S33" s="244"/>
      <c r="T33" s="244"/>
      <c r="U33" s="244"/>
      <c r="V33" s="244"/>
    </row>
    <row r="34" spans="2:22" ht="14.4" customHeight="1" x14ac:dyDescent="0.25">
      <c r="B34" s="1654"/>
      <c r="C34" s="1521"/>
      <c r="D34" s="1377" t="str">
        <f>IFERROR(INDEX(Valores!E:E,MATCH(B34,Valores!C:C,0),1),"")</f>
        <v/>
      </c>
      <c r="E34" s="1623">
        <f>SUMIF(Valores!C:C,B34,Valores!F:F)</f>
        <v>0</v>
      </c>
      <c r="F34" s="1624" t="str">
        <f>IFERROR(INDEX(Valores!G:G,MATCH(B34,Valores!C:C,0),1),"")</f>
        <v/>
      </c>
      <c r="G34" s="1557">
        <f>+E34*C34*$G$6</f>
        <v>0</v>
      </c>
      <c r="H34" s="1558">
        <f>G34/$D$10</f>
        <v>0</v>
      </c>
      <c r="I34" s="244"/>
      <c r="J34" s="244"/>
      <c r="K34" s="244"/>
      <c r="L34" s="244"/>
      <c r="M34" s="244"/>
      <c r="N34" s="244"/>
      <c r="O34" s="244"/>
      <c r="P34" s="244"/>
      <c r="Q34" s="244"/>
      <c r="R34" s="244"/>
      <c r="S34" s="244"/>
      <c r="T34" s="244"/>
      <c r="U34" s="244"/>
      <c r="V34" s="244"/>
    </row>
    <row r="35" spans="2:22" ht="14.4" thickBot="1" x14ac:dyDescent="0.3">
      <c r="B35" s="65" t="s">
        <v>1212</v>
      </c>
      <c r="C35" s="1626"/>
      <c r="D35" s="1462"/>
      <c r="E35" s="1560">
        <f>G35/G6</f>
        <v>190</v>
      </c>
      <c r="F35" s="1561"/>
      <c r="G35" s="1562">
        <f>SUM(G33:G34)</f>
        <v>285000</v>
      </c>
      <c r="H35" s="1627">
        <f>SUM(H33:H34)</f>
        <v>11.631940901577455</v>
      </c>
      <c r="I35" s="244"/>
      <c r="J35" s="244"/>
      <c r="K35" s="244"/>
      <c r="L35" s="244"/>
      <c r="M35" s="244"/>
      <c r="N35" s="244"/>
      <c r="O35" s="244"/>
      <c r="P35" s="244"/>
      <c r="Q35" s="244"/>
      <c r="R35" s="244"/>
      <c r="S35" s="244"/>
      <c r="T35" s="244"/>
      <c r="U35" s="244"/>
      <c r="V35" s="244"/>
    </row>
    <row r="36" spans="2:22" x14ac:dyDescent="0.25">
      <c r="B36" s="1655" t="s">
        <v>1090</v>
      </c>
      <c r="C36" s="1533">
        <v>100</v>
      </c>
      <c r="D36" s="1416" t="str">
        <f>IFERROR(INDEX(Valores!E:E,MATCH(B36,Valores!C:C,0),1),"")</f>
        <v>Kg/Ha.</v>
      </c>
      <c r="E36" s="1422">
        <f>SUMIF(Valores!C:C,B36,Valores!F:F)</f>
        <v>1100</v>
      </c>
      <c r="F36" s="1403" t="str">
        <f>IFERROR(INDEX(Valores!G:G,MATCH(B36,Valores!C:C,0),1),"")</f>
        <v>U$S/ton.</v>
      </c>
      <c r="G36" s="813">
        <f t="shared" ref="G36:G39" si="4">+E36*C36*$G$6/1000</f>
        <v>165000</v>
      </c>
      <c r="H36" s="803">
        <f t="shared" ref="H36:H39" si="5">G36/$D$10</f>
        <v>6.7342815745974738</v>
      </c>
      <c r="I36" s="244"/>
      <c r="J36" s="244"/>
      <c r="K36" s="244"/>
      <c r="L36" s="244"/>
      <c r="M36" s="244"/>
      <c r="N36" s="244"/>
      <c r="O36" s="244"/>
      <c r="P36" s="244"/>
      <c r="Q36" s="244"/>
      <c r="R36" s="244"/>
      <c r="S36" s="244"/>
      <c r="T36" s="244"/>
      <c r="U36" s="244"/>
      <c r="V36" s="244"/>
    </row>
    <row r="37" spans="2:22" x14ac:dyDescent="0.25">
      <c r="B37" s="1654" t="s">
        <v>1093</v>
      </c>
      <c r="C37" s="1521">
        <v>220</v>
      </c>
      <c r="D37" s="1364" t="str">
        <f>IFERROR(INDEX(Valores!E:E,MATCH(B37,Valores!C:C,0),1),"")</f>
        <v>Kg/Ha.</v>
      </c>
      <c r="E37" s="1365">
        <f>SUMIF(Valores!C:C,B37,Valores!F:F)</f>
        <v>970</v>
      </c>
      <c r="F37" s="1366" t="str">
        <f>IFERROR(INDEX(Valores!G:G,MATCH(B37,Valores!C:C,0),1),"")</f>
        <v>U$S/ton.</v>
      </c>
      <c r="G37" s="811">
        <f t="shared" si="4"/>
        <v>320100</v>
      </c>
      <c r="H37" s="798">
        <f t="shared" si="5"/>
        <v>13.064506254719099</v>
      </c>
      <c r="I37" s="244"/>
      <c r="J37" s="244"/>
      <c r="K37" s="244"/>
      <c r="L37" s="244"/>
      <c r="M37" s="244"/>
      <c r="N37" s="244"/>
      <c r="O37" s="244"/>
      <c r="P37" s="244"/>
      <c r="Q37" s="244"/>
      <c r="R37" s="244"/>
      <c r="S37" s="244"/>
      <c r="T37" s="244"/>
      <c r="U37" s="244"/>
      <c r="V37" s="244"/>
    </row>
    <row r="38" spans="2:22" x14ac:dyDescent="0.25">
      <c r="B38" s="1654"/>
      <c r="C38" s="1521"/>
      <c r="D38" s="1364" t="str">
        <f>IFERROR(INDEX(Valores!E:E,MATCH(B38,Valores!C:C,0),1),"")</f>
        <v/>
      </c>
      <c r="E38" s="1365">
        <f>SUMIF(Valores!C:C,B38,Valores!F:F)</f>
        <v>0</v>
      </c>
      <c r="F38" s="1366" t="str">
        <f>IFERROR(INDEX(Valores!G:G,MATCH(B38,Valores!C:C,0),1),"")</f>
        <v/>
      </c>
      <c r="G38" s="811">
        <f>+E38*C38*$G$6/1000</f>
        <v>0</v>
      </c>
      <c r="H38" s="798">
        <f t="shared" si="5"/>
        <v>0</v>
      </c>
      <c r="I38" s="244"/>
      <c r="J38" s="244"/>
      <c r="K38" s="244"/>
      <c r="L38" s="244"/>
      <c r="M38" s="244"/>
      <c r="N38" s="244"/>
      <c r="O38" s="244"/>
      <c r="P38" s="244"/>
      <c r="Q38" s="244"/>
      <c r="R38" s="244"/>
      <c r="S38" s="244"/>
      <c r="T38" s="244"/>
      <c r="U38" s="244"/>
      <c r="V38" s="244"/>
    </row>
    <row r="39" spans="2:22" x14ac:dyDescent="0.25">
      <c r="B39" s="1654"/>
      <c r="C39" s="1521"/>
      <c r="D39" s="1364" t="str">
        <f>IFERROR(INDEX(Valores!E:E,MATCH(B39,Valores!C:C,0),1),"")</f>
        <v/>
      </c>
      <c r="E39" s="1365">
        <f>SUMIF(Valores!C:C,B39,Valores!F:F)</f>
        <v>0</v>
      </c>
      <c r="F39" s="1366" t="str">
        <f>IFERROR(INDEX(Valores!G:G,MATCH(B39,Valores!C:C,0),1),"")</f>
        <v/>
      </c>
      <c r="G39" s="811">
        <f t="shared" si="4"/>
        <v>0</v>
      </c>
      <c r="H39" s="798">
        <f t="shared" si="5"/>
        <v>0</v>
      </c>
      <c r="I39" s="244"/>
      <c r="J39" s="244"/>
      <c r="K39" s="244"/>
      <c r="L39" s="244"/>
      <c r="M39" s="244"/>
      <c r="N39" s="244"/>
      <c r="O39" s="244"/>
      <c r="P39" s="244"/>
      <c r="Q39" s="244"/>
      <c r="R39" s="244"/>
      <c r="S39" s="244"/>
      <c r="T39" s="244"/>
      <c r="U39" s="244"/>
      <c r="V39" s="244"/>
    </row>
    <row r="40" spans="2:22" ht="14.4" customHeight="1" thickBot="1" x14ac:dyDescent="0.3">
      <c r="B40" s="65" t="s">
        <v>105</v>
      </c>
      <c r="C40" s="173"/>
      <c r="D40" s="174"/>
      <c r="E40" s="176">
        <f>+G40/$G$6</f>
        <v>323.39999999999998</v>
      </c>
      <c r="F40" s="676" t="s">
        <v>95</v>
      </c>
      <c r="G40" s="812">
        <f>SUM(G36:G39)</f>
        <v>485100</v>
      </c>
      <c r="H40" s="802">
        <f>SUM(H36:H39)</f>
        <v>19.798787829316574</v>
      </c>
    </row>
    <row r="41" spans="2:22" x14ac:dyDescent="0.25">
      <c r="B41" s="181"/>
      <c r="C41" s="187"/>
      <c r="D41" s="182"/>
      <c r="E41" s="189"/>
      <c r="F41" s="677"/>
      <c r="G41" s="813"/>
      <c r="H41" s="803"/>
    </row>
    <row r="42" spans="2:22" ht="13.95" customHeight="1" x14ac:dyDescent="0.25">
      <c r="B42" s="165" t="s">
        <v>106</v>
      </c>
      <c r="C42" s="1530">
        <v>80</v>
      </c>
      <c r="D42" s="695" t="s">
        <v>107</v>
      </c>
      <c r="E42" s="235">
        <v>3.15E-2</v>
      </c>
      <c r="F42" s="675" t="s">
        <v>72</v>
      </c>
      <c r="G42" s="815">
        <f>+E42*C42*D10</f>
        <v>61743.78</v>
      </c>
      <c r="H42" s="816">
        <f>G42/$D$10</f>
        <v>2.52</v>
      </c>
      <c r="I42" s="238"/>
      <c r="J42" s="238"/>
      <c r="K42" s="238"/>
      <c r="L42" s="238"/>
      <c r="M42" s="238"/>
      <c r="N42" s="238"/>
      <c r="O42" s="238"/>
      <c r="P42" s="238"/>
      <c r="Q42" s="238"/>
      <c r="R42" s="238"/>
      <c r="S42" s="238"/>
      <c r="T42" s="238"/>
      <c r="U42" s="238"/>
      <c r="V42" s="238"/>
    </row>
    <row r="43" spans="2:22" ht="13.95" customHeight="1" thickBot="1" x14ac:dyDescent="0.3">
      <c r="B43" s="198"/>
      <c r="C43" s="199"/>
      <c r="D43" s="200"/>
      <c r="E43" s="202"/>
      <c r="F43" s="678"/>
      <c r="G43" s="742"/>
      <c r="H43" s="817"/>
      <c r="I43" s="238"/>
      <c r="J43" s="238"/>
      <c r="K43" s="238"/>
      <c r="L43" s="238"/>
      <c r="M43" s="238"/>
      <c r="N43" s="238"/>
      <c r="O43" s="238"/>
      <c r="P43" s="238"/>
      <c r="Q43" s="238"/>
      <c r="R43" s="238"/>
      <c r="S43" s="238"/>
      <c r="T43" s="238"/>
      <c r="U43" s="238"/>
      <c r="V43" s="238"/>
    </row>
    <row r="44" spans="2:22" ht="16.2" customHeight="1" thickBot="1" x14ac:dyDescent="0.3">
      <c r="B44" s="422" t="s">
        <v>108</v>
      </c>
      <c r="C44" s="423"/>
      <c r="D44" s="423"/>
      <c r="E44" s="818">
        <f>+G44/G6</f>
        <v>674.86752000000001</v>
      </c>
      <c r="F44" s="424"/>
      <c r="G44" s="819">
        <f>+G26+G31+G33+G40+G42</f>
        <v>1012301.28</v>
      </c>
      <c r="H44" s="820">
        <f>+H31+H33+H40+H42</f>
        <v>40.390232434748896</v>
      </c>
    </row>
    <row r="45" spans="2:22" x14ac:dyDescent="0.25">
      <c r="H45" s="112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  <c r="V45" s="112"/>
    </row>
    <row r="46" spans="2:22" ht="13.95" customHeight="1" thickBot="1" x14ac:dyDescent="0.3">
      <c r="H46" s="112"/>
      <c r="I46" s="112"/>
      <c r="J46" s="112"/>
      <c r="K46" s="112"/>
      <c r="L46" s="112"/>
      <c r="M46" s="112"/>
      <c r="N46" s="112"/>
      <c r="O46" s="112"/>
      <c r="P46" s="112"/>
      <c r="Q46" s="112"/>
      <c r="R46" s="112"/>
      <c r="S46" s="112"/>
      <c r="T46" s="112"/>
      <c r="U46" s="112"/>
      <c r="V46" s="112"/>
    </row>
    <row r="47" spans="2:22" ht="16.2" customHeight="1" thickBot="1" x14ac:dyDescent="0.3">
      <c r="B47" s="1708" t="s">
        <v>168</v>
      </c>
      <c r="C47" s="1686"/>
      <c r="D47" s="1687"/>
      <c r="I47" s="112"/>
      <c r="J47" s="112"/>
      <c r="K47" s="112"/>
      <c r="L47" s="112"/>
      <c r="M47" s="112"/>
      <c r="N47" s="112"/>
      <c r="O47" s="112"/>
      <c r="P47" s="112"/>
      <c r="Q47" s="112"/>
      <c r="R47" s="112"/>
      <c r="S47" s="112"/>
      <c r="T47" s="112"/>
      <c r="U47" s="112"/>
      <c r="V47" s="112"/>
    </row>
    <row r="48" spans="2:22" ht="18" customHeight="1" thickTop="1" thickBot="1" x14ac:dyDescent="0.3">
      <c r="B48" s="808">
        <f>+H48*D10*C48/100</f>
        <v>147009</v>
      </c>
      <c r="C48" s="1523">
        <v>8</v>
      </c>
      <c r="D48" s="232" t="s">
        <v>72</v>
      </c>
      <c r="E48" s="246"/>
      <c r="F48" s="247"/>
      <c r="G48" s="248" t="s">
        <v>190</v>
      </c>
      <c r="H48" s="262">
        <f>+RESUMEN!H9</f>
        <v>75</v>
      </c>
      <c r="J48" s="244"/>
      <c r="K48" s="244"/>
      <c r="L48" s="244"/>
      <c r="M48" s="244"/>
      <c r="N48" s="244"/>
      <c r="O48" s="244"/>
      <c r="P48" s="244"/>
      <c r="Q48" s="244"/>
      <c r="R48" s="244"/>
      <c r="S48" s="244"/>
      <c r="T48" s="244"/>
      <c r="U48" s="244"/>
      <c r="V48" s="244"/>
    </row>
    <row r="49" spans="2:22" ht="15" customHeight="1" thickTop="1" thickBot="1" x14ac:dyDescent="0.3">
      <c r="G49" s="314" t="str">
        <f>+TRIGO!G53</f>
        <v>Equilibrio 26-27 :</v>
      </c>
      <c r="H49" s="315">
        <f>((G44)/(D10-C51-C52))/(100-C48)*100</f>
        <v>47.221315291327578</v>
      </c>
      <c r="J49" s="244"/>
      <c r="K49" s="772"/>
      <c r="L49" s="244"/>
      <c r="M49" s="244"/>
      <c r="N49" s="244"/>
      <c r="O49" s="244"/>
      <c r="P49" s="244"/>
      <c r="Q49" s="244"/>
      <c r="R49" s="244"/>
      <c r="S49" s="244"/>
      <c r="T49" s="244"/>
      <c r="U49" s="244"/>
      <c r="V49" s="244"/>
    </row>
    <row r="50" spans="2:22" ht="16.2" customHeight="1" thickBot="1" x14ac:dyDescent="0.3">
      <c r="B50" s="1708" t="s">
        <v>170</v>
      </c>
      <c r="C50" s="1686"/>
      <c r="D50" s="1687"/>
      <c r="H50" s="261"/>
      <c r="K50" s="773"/>
    </row>
    <row r="51" spans="2:22" x14ac:dyDescent="0.25">
      <c r="B51" s="187" t="s">
        <v>113</v>
      </c>
      <c r="C51" s="1524">
        <v>700</v>
      </c>
      <c r="D51" s="232" t="s">
        <v>65</v>
      </c>
      <c r="H51" s="261"/>
      <c r="J51" s="244"/>
      <c r="K51" s="772"/>
      <c r="L51" s="244"/>
      <c r="M51" s="244"/>
      <c r="N51" s="244"/>
      <c r="O51" s="244"/>
      <c r="P51" s="244"/>
      <c r="Q51" s="244"/>
      <c r="R51" s="244"/>
      <c r="S51" s="244"/>
      <c r="T51" s="244"/>
      <c r="U51" s="244"/>
      <c r="V51" s="244"/>
    </row>
    <row r="52" spans="2:22" x14ac:dyDescent="0.25">
      <c r="B52" s="214" t="s">
        <v>115</v>
      </c>
      <c r="C52" s="1524">
        <v>500</v>
      </c>
      <c r="D52" s="232" t="s">
        <v>65</v>
      </c>
      <c r="H52" s="261"/>
      <c r="K52" s="772"/>
    </row>
    <row r="53" spans="2:22" x14ac:dyDescent="0.25">
      <c r="H53" s="261"/>
    </row>
    <row r="54" spans="2:22" ht="13.95" customHeight="1" thickBot="1" x14ac:dyDescent="0.3">
      <c r="H54" s="261"/>
      <c r="I54" s="261"/>
    </row>
    <row r="55" spans="2:22" ht="18.600000000000001" customHeight="1" thickBot="1" x14ac:dyDescent="0.3">
      <c r="B55" s="1756" t="s">
        <v>195</v>
      </c>
      <c r="C55" s="1706"/>
      <c r="D55" s="1706"/>
      <c r="E55" s="757">
        <f>+$H$48*D10*(100-$C$48)/100-G44-($C$51+$C$52)*$H$48</f>
        <v>588302.22</v>
      </c>
      <c r="F55" s="89" t="s">
        <v>117</v>
      </c>
      <c r="G55" s="821">
        <f>+E55/D10</f>
        <v>24.010865457216905</v>
      </c>
      <c r="H55" s="91" t="s">
        <v>77</v>
      </c>
      <c r="I55" s="261"/>
      <c r="L55" s="244"/>
      <c r="M55" s="244"/>
      <c r="N55" s="244"/>
      <c r="O55" s="244"/>
      <c r="P55" s="244"/>
      <c r="Q55" s="244"/>
      <c r="R55" s="244"/>
      <c r="S55" s="244"/>
      <c r="T55" s="244"/>
      <c r="U55" s="244"/>
      <c r="V55" s="244"/>
    </row>
    <row r="56" spans="2:22" ht="15.6" customHeight="1" x14ac:dyDescent="0.25">
      <c r="D56" s="37" t="s">
        <v>118</v>
      </c>
      <c r="E56" s="746">
        <f>+E55/G6</f>
        <v>392.20148</v>
      </c>
      <c r="H56" s="35"/>
      <c r="I56" s="261"/>
      <c r="M56" s="244"/>
      <c r="N56" s="244"/>
      <c r="O56" s="244"/>
      <c r="P56" s="244"/>
      <c r="Q56" s="244"/>
      <c r="R56" s="244"/>
      <c r="S56" s="244"/>
      <c r="T56" s="244"/>
      <c r="U56" s="244"/>
      <c r="V56" s="244"/>
    </row>
    <row r="57" spans="2:22" x14ac:dyDescent="0.25">
      <c r="H57" s="261"/>
      <c r="I57" s="261"/>
      <c r="J57" s="261"/>
      <c r="L57" s="244"/>
      <c r="M57" s="244"/>
      <c r="N57" s="244"/>
      <c r="O57" s="244"/>
      <c r="P57" s="244"/>
      <c r="Q57" s="244"/>
      <c r="R57" s="244"/>
      <c r="S57" s="244"/>
      <c r="T57" s="244"/>
      <c r="U57" s="244"/>
      <c r="V57" s="244"/>
    </row>
    <row r="58" spans="2:22" ht="16.2" customHeight="1" thickBot="1" x14ac:dyDescent="0.3">
      <c r="H58" s="261"/>
      <c r="I58" s="261"/>
      <c r="J58" s="31"/>
      <c r="L58" s="261"/>
      <c r="M58" s="245"/>
      <c r="N58" s="245"/>
      <c r="O58" s="245"/>
      <c r="P58" s="245"/>
      <c r="Q58" s="245"/>
      <c r="R58" s="245"/>
      <c r="S58" s="245"/>
      <c r="T58" s="245"/>
      <c r="U58" s="245"/>
      <c r="V58" s="245"/>
    </row>
    <row r="59" spans="2:22" ht="19.2" customHeight="1" thickTop="1" thickBot="1" x14ac:dyDescent="0.3">
      <c r="B59" s="1702" t="s">
        <v>142</v>
      </c>
      <c r="C59" s="1703"/>
      <c r="D59" s="1703"/>
      <c r="E59" s="760">
        <f>+TRIGO!E58</f>
        <v>282636.59999999986</v>
      </c>
      <c r="F59" s="101" t="s">
        <v>117</v>
      </c>
      <c r="G59" s="102">
        <f>+TRIGO!G59</f>
        <v>0</v>
      </c>
      <c r="H59" s="103" t="s">
        <v>77</v>
      </c>
      <c r="I59" s="261"/>
      <c r="L59" s="261"/>
      <c r="M59" s="245"/>
      <c r="N59" s="245"/>
      <c r="O59" s="245"/>
      <c r="P59" s="245"/>
      <c r="Q59" s="245"/>
      <c r="R59" s="245"/>
      <c r="S59" s="245"/>
      <c r="T59" s="245"/>
      <c r="U59" s="245"/>
      <c r="V59" s="245"/>
    </row>
    <row r="60" spans="2:22" ht="16.2" customHeight="1" thickTop="1" x14ac:dyDescent="0.25">
      <c r="D60" s="37" t="s">
        <v>118</v>
      </c>
      <c r="E60" s="746">
        <f>+E59/G6</f>
        <v>188.42439999999991</v>
      </c>
      <c r="F60" s="35"/>
      <c r="H60" s="261"/>
      <c r="I60" s="261"/>
      <c r="M60" s="245"/>
      <c r="N60" s="245"/>
      <c r="O60" s="245"/>
      <c r="P60" s="245"/>
      <c r="Q60" s="245"/>
      <c r="R60" s="245"/>
      <c r="S60" s="245"/>
      <c r="T60" s="245"/>
      <c r="U60" s="245"/>
      <c r="V60" s="245"/>
    </row>
    <row r="61" spans="2:22" ht="13.95" customHeight="1" x14ac:dyDescent="0.25">
      <c r="H61" s="261"/>
      <c r="I61" s="261"/>
      <c r="J61" s="82"/>
      <c r="L61" s="261"/>
    </row>
    <row r="62" spans="2:22" ht="15" customHeight="1" thickBot="1" x14ac:dyDescent="0.3">
      <c r="H62" s="261"/>
      <c r="I62" s="261"/>
      <c r="J62" s="711"/>
      <c r="K62" s="711"/>
      <c r="L62" s="244"/>
      <c r="M62" s="244"/>
      <c r="N62" s="244"/>
      <c r="O62" s="244"/>
      <c r="P62" s="244"/>
      <c r="Q62" s="244"/>
      <c r="R62" s="244"/>
      <c r="S62" s="244"/>
      <c r="T62" s="244"/>
      <c r="U62" s="244"/>
      <c r="V62" s="244"/>
    </row>
    <row r="63" spans="2:22" ht="16.2" customHeight="1" thickBot="1" x14ac:dyDescent="0.3">
      <c r="B63" s="1700" t="s">
        <v>143</v>
      </c>
      <c r="C63" s="1686"/>
      <c r="D63" s="1686"/>
      <c r="E63" s="1687"/>
      <c r="G63" s="714"/>
      <c r="H63" s="261"/>
    </row>
    <row r="64" spans="2:22" ht="13.95" customHeight="1" x14ac:dyDescent="0.25">
      <c r="C64" s="354">
        <f>+RESUMEN!D10</f>
        <v>17</v>
      </c>
      <c r="D64" s="97" t="s">
        <v>144</v>
      </c>
      <c r="E64" s="762">
        <f>+C64*Sj1º!D5</f>
        <v>816000</v>
      </c>
      <c r="F64" s="98" t="s">
        <v>117</v>
      </c>
      <c r="G64" s="99">
        <f>+E64/D10</f>
        <v>33.304083423463872</v>
      </c>
      <c r="H64" s="100" t="s">
        <v>77</v>
      </c>
      <c r="I64" s="244"/>
      <c r="J64" s="244"/>
      <c r="K64" s="244"/>
      <c r="L64" s="244"/>
      <c r="M64" s="244"/>
      <c r="N64" s="244"/>
      <c r="O64" s="244"/>
      <c r="P64" s="244"/>
      <c r="Q64" s="244"/>
      <c r="R64" s="244"/>
      <c r="S64" s="244"/>
      <c r="T64" s="244"/>
      <c r="U64" s="244"/>
      <c r="V64" s="244"/>
    </row>
    <row r="65" spans="2:22" ht="15.6" customHeight="1" x14ac:dyDescent="0.25">
      <c r="D65" s="37" t="s">
        <v>118</v>
      </c>
      <c r="E65" s="746">
        <f>+E64/G6</f>
        <v>544</v>
      </c>
      <c r="H65" s="81"/>
    </row>
    <row r="66" spans="2:22" x14ac:dyDescent="0.25">
      <c r="H66" s="261"/>
      <c r="I66" s="245"/>
      <c r="J66" s="245"/>
      <c r="K66" s="245"/>
      <c r="L66" s="245"/>
      <c r="M66" s="245"/>
      <c r="N66" s="245"/>
      <c r="O66" s="245"/>
      <c r="P66" s="245"/>
      <c r="Q66" s="245"/>
      <c r="R66" s="245"/>
      <c r="S66" s="245"/>
      <c r="T66" s="245"/>
      <c r="U66" s="245"/>
      <c r="V66" s="245"/>
    </row>
    <row r="67" spans="2:22" ht="16.2" customHeight="1" thickBot="1" x14ac:dyDescent="0.3">
      <c r="G67" s="31"/>
      <c r="H67" s="261"/>
    </row>
    <row r="68" spans="2:22" ht="19.2" customHeight="1" thickTop="1" thickBot="1" x14ac:dyDescent="0.3">
      <c r="B68" s="355" t="s">
        <v>196</v>
      </c>
      <c r="C68" s="318"/>
      <c r="D68" s="253">
        <f>+E68/(E64+G44+TRIGO!G48)</f>
        <v>3.0049106567381405E-2</v>
      </c>
      <c r="E68" s="765">
        <f>+E55+E59-E64</f>
        <v>54938.819999999832</v>
      </c>
      <c r="F68" s="32" t="s">
        <v>117</v>
      </c>
      <c r="G68" s="83">
        <f>+E68/D10</f>
        <v>2.2422635348856126</v>
      </c>
      <c r="H68" s="33" t="s">
        <v>77</v>
      </c>
      <c r="I68" s="244"/>
      <c r="J68" s="244"/>
      <c r="K68" s="244"/>
      <c r="L68" s="244"/>
      <c r="M68" s="244"/>
      <c r="N68" s="244"/>
      <c r="O68" s="244"/>
      <c r="P68" s="244"/>
      <c r="Q68" s="244"/>
      <c r="R68" s="244"/>
      <c r="S68" s="244"/>
      <c r="T68" s="244"/>
      <c r="U68" s="244"/>
      <c r="V68" s="244"/>
    </row>
    <row r="69" spans="2:22" ht="16.2" customHeight="1" thickTop="1" x14ac:dyDescent="0.25">
      <c r="D69" s="37" t="s">
        <v>118</v>
      </c>
      <c r="E69" s="746">
        <f>+E56+E60-E65</f>
        <v>36.625879999999938</v>
      </c>
      <c r="H69" s="35"/>
    </row>
  </sheetData>
  <sheetProtection algorithmName="SHA-512" hashValue="uiV/yzqSQ3GMpfuL1hyvCCHwm+yTDC2q9c4+2/estgZQ/ibgJf4VQnQ6JzG8KLwMmYef5adin0uooedqcGcWsg==" saltValue="sTQtLmXj1OmL+nct/CMcqw==" spinCount="100000" sheet="1" objects="1" scenarios="1"/>
  <mergeCells count="8">
    <mergeCell ref="B1:H2"/>
    <mergeCell ref="B63:E63"/>
    <mergeCell ref="B47:D47"/>
    <mergeCell ref="B50:D50"/>
    <mergeCell ref="B7:D7"/>
    <mergeCell ref="C14:D14"/>
    <mergeCell ref="B55:D55"/>
    <mergeCell ref="B59:D59"/>
  </mergeCells>
  <printOptions horizontalCentered="1"/>
  <pageMargins left="0.59055118110236227" right="0.51181102362204722" top="0.59055118110236227" bottom="0.59055118110236227" header="0.31496062992125978" footer="0.31496062992125978"/>
  <pageSetup paperSize="9" scale="89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Seleccionar artículo correcto" promptTitle="Seleccionar artículo" xr:uid="{CEEE7B35-9613-4963-BDE8-904819423FB2}">
          <x14:formula1>
            <xm:f>Valores!$C$6:$C$123</xm:f>
          </x14:formula1>
          <xm:sqref>B15:B30 B33:B34 B36:B39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1:AG59"/>
  <sheetViews>
    <sheetView showGridLines="0" zoomScale="120" zoomScaleNormal="120" workbookViewId="0">
      <pane ySplit="2" topLeftCell="A3" activePane="bottomLeft" state="frozen"/>
      <selection pane="bottomLeft" activeCell="C20" sqref="C20"/>
    </sheetView>
  </sheetViews>
  <sheetFormatPr baseColWidth="10" defaultColWidth="11.44140625" defaultRowHeight="13.2" outlineLevelRow="1" x14ac:dyDescent="0.25"/>
  <cols>
    <col min="1" max="1" width="2.5546875" style="261" customWidth="1"/>
    <col min="2" max="2" width="34.88671875" style="261" customWidth="1"/>
    <col min="3" max="3" width="8.6640625" style="261" bestFit="1" customWidth="1"/>
    <col min="4" max="4" width="18.33203125" style="261" bestFit="1" customWidth="1"/>
    <col min="5" max="5" width="9" style="261" hidden="1" customWidth="1"/>
    <col min="6" max="6" width="9.6640625" style="261" customWidth="1"/>
    <col min="7" max="7" width="8.6640625" style="261" customWidth="1"/>
    <col min="8" max="8" width="13.109375" style="261" hidden="1" customWidth="1"/>
    <col min="9" max="9" width="12.5546875" style="261" customWidth="1"/>
    <col min="10" max="10" width="7" style="261" hidden="1" customWidth="1"/>
    <col min="11" max="11" width="8.33203125" style="261" hidden="1" customWidth="1"/>
    <col min="12" max="12" width="11.44140625" style="690" customWidth="1"/>
    <col min="13" max="13" width="8" style="690" hidden="1" customWidth="1"/>
    <col min="14" max="17" width="7.6640625" style="690" customWidth="1"/>
    <col min="18" max="18" width="20.109375" style="690" bestFit="1" customWidth="1"/>
    <col min="19" max="19" width="4.44140625" style="690" bestFit="1" customWidth="1"/>
    <col min="20" max="20" width="6.6640625" style="690" bestFit="1" customWidth="1"/>
    <col min="21" max="22" width="6" style="690" bestFit="1" customWidth="1"/>
    <col min="23" max="23" width="4.44140625" style="690" bestFit="1" customWidth="1"/>
    <col min="24" max="24" width="7" style="690" bestFit="1" customWidth="1"/>
    <col min="25" max="25" width="4.88671875" style="690" bestFit="1" customWidth="1"/>
    <col min="26" max="26" width="6.88671875" style="690" bestFit="1" customWidth="1"/>
    <col min="27" max="27" width="4.88671875" style="690" bestFit="1" customWidth="1"/>
    <col min="28" max="28" width="4.88671875" style="261" bestFit="1" customWidth="1"/>
    <col min="29" max="29" width="6.88671875" style="261" bestFit="1" customWidth="1"/>
    <col min="30" max="32" width="11.44140625" style="261" customWidth="1"/>
    <col min="33" max="16384" width="11.44140625" style="261"/>
  </cols>
  <sheetData>
    <row r="1" spans="2:33" ht="12.75" customHeight="1" x14ac:dyDescent="0.25">
      <c r="B1" s="1758" t="s">
        <v>192</v>
      </c>
      <c r="C1" s="1680"/>
      <c r="D1" s="1680"/>
      <c r="E1" s="1680"/>
      <c r="F1" s="1680"/>
      <c r="G1" s="1680"/>
      <c r="H1" s="1680"/>
      <c r="I1" s="1680"/>
      <c r="J1" s="1681"/>
    </row>
    <row r="2" spans="2:33" ht="12.75" customHeight="1" thickBot="1" x14ac:dyDescent="0.3">
      <c r="B2" s="1682"/>
      <c r="C2" s="1683"/>
      <c r="D2" s="1683"/>
      <c r="E2" s="1683"/>
      <c r="F2" s="1683"/>
      <c r="G2" s="1683"/>
      <c r="H2" s="1683"/>
      <c r="I2" s="1683"/>
      <c r="J2" s="1684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</row>
    <row r="3" spans="2:33" ht="12.75" customHeight="1" x14ac:dyDescent="0.25">
      <c r="B3" s="114"/>
      <c r="C3" s="114"/>
      <c r="D3" s="114"/>
      <c r="E3" s="114"/>
      <c r="F3" s="114"/>
      <c r="G3" s="114"/>
      <c r="M3" s="244"/>
      <c r="N3" s="244"/>
      <c r="O3" s="244"/>
      <c r="P3" s="244"/>
      <c r="Q3" s="244"/>
      <c r="R3" s="244"/>
      <c r="S3" s="244"/>
      <c r="T3" s="244"/>
      <c r="U3" s="244"/>
      <c r="V3" s="244"/>
      <c r="W3" s="244"/>
      <c r="X3" s="244"/>
      <c r="Y3" s="244"/>
      <c r="Z3" s="244"/>
      <c r="AA3" s="244"/>
    </row>
    <row r="4" spans="2:33" ht="12.75" customHeight="1" x14ac:dyDescent="0.25">
      <c r="B4" s="114"/>
      <c r="C4" s="114"/>
      <c r="D4" s="114"/>
      <c r="E4" s="114"/>
      <c r="F4" s="114"/>
      <c r="G4" s="114"/>
      <c r="M4" s="244"/>
      <c r="N4" s="244"/>
      <c r="O4" s="244"/>
      <c r="P4" s="244"/>
      <c r="Q4" s="244"/>
      <c r="R4" s="244"/>
      <c r="S4" s="244"/>
      <c r="T4" s="244"/>
      <c r="U4" s="244"/>
      <c r="V4" s="244"/>
      <c r="W4" s="244"/>
      <c r="X4" s="244"/>
      <c r="Y4" s="244"/>
      <c r="Z4" s="244"/>
      <c r="AA4" s="244"/>
    </row>
    <row r="5" spans="2:33" ht="13.95" customHeight="1" x14ac:dyDescent="0.25">
      <c r="B5" s="123" t="s">
        <v>64</v>
      </c>
      <c r="C5" s="124"/>
      <c r="D5" s="124">
        <f>+RESUMEN!I4</f>
        <v>28500</v>
      </c>
      <c r="F5" s="125" t="s">
        <v>65</v>
      </c>
      <c r="I5" s="1759" t="s">
        <v>186</v>
      </c>
      <c r="J5" s="1730"/>
      <c r="L5" s="261"/>
      <c r="M5" s="261"/>
      <c r="P5" s="244"/>
      <c r="Q5" s="244"/>
      <c r="R5" s="244"/>
      <c r="S5" s="244"/>
      <c r="T5" s="244"/>
      <c r="U5" s="244"/>
      <c r="V5" s="244"/>
      <c r="W5" s="244"/>
      <c r="X5" s="244"/>
      <c r="Y5" s="244"/>
      <c r="Z5" s="244"/>
      <c r="AA5" s="244"/>
    </row>
    <row r="6" spans="2:33" ht="13.95" customHeight="1" thickBot="1" x14ac:dyDescent="0.3">
      <c r="I6" s="319">
        <f>+RESUMEN!Q15</f>
        <v>1500</v>
      </c>
      <c r="J6" s="317"/>
      <c r="K6" s="317"/>
      <c r="L6" s="129" t="s">
        <v>187</v>
      </c>
      <c r="M6" s="261"/>
      <c r="N6" s="261"/>
      <c r="O6" s="261"/>
      <c r="P6" s="244"/>
    </row>
    <row r="7" spans="2:33" ht="17.399999999999999" customHeight="1" thickBot="1" x14ac:dyDescent="0.3">
      <c r="B7" s="1685" t="s">
        <v>68</v>
      </c>
      <c r="C7" s="1686"/>
      <c r="D7" s="1687"/>
      <c r="L7" s="261"/>
      <c r="M7" s="261"/>
      <c r="N7" s="261"/>
      <c r="O7" s="261"/>
      <c r="P7" s="261"/>
      <c r="Q7" s="112"/>
      <c r="R7" s="112"/>
      <c r="S7" s="112"/>
      <c r="T7" s="112"/>
      <c r="U7" s="112"/>
      <c r="V7" s="112"/>
      <c r="W7" s="112"/>
      <c r="X7" s="112"/>
      <c r="Y7" s="112"/>
      <c r="Z7" s="112"/>
      <c r="AA7" s="112"/>
    </row>
    <row r="8" spans="2:33" x14ac:dyDescent="0.25">
      <c r="B8" s="187" t="s">
        <v>70</v>
      </c>
      <c r="C8" s="133"/>
      <c r="D8" s="133">
        <f>+RESUMEN!Q14</f>
        <v>3400</v>
      </c>
      <c r="F8" s="134" t="s">
        <v>65</v>
      </c>
      <c r="L8" s="261"/>
      <c r="M8" s="261"/>
      <c r="N8" s="261"/>
      <c r="O8" s="261"/>
      <c r="P8" s="261"/>
    </row>
    <row r="9" spans="2:33" x14ac:dyDescent="0.25">
      <c r="B9" s="187" t="s">
        <v>71</v>
      </c>
      <c r="C9" s="136"/>
      <c r="D9" s="136">
        <v>0.03</v>
      </c>
      <c r="F9" s="232" t="s">
        <v>72</v>
      </c>
      <c r="L9" s="261"/>
      <c r="M9" s="261"/>
      <c r="N9" s="261"/>
      <c r="O9" s="261"/>
      <c r="P9" s="261"/>
      <c r="Q9" s="244"/>
      <c r="R9" s="244"/>
      <c r="S9" s="244"/>
      <c r="T9" s="244"/>
      <c r="U9" s="244"/>
      <c r="V9" s="244"/>
      <c r="W9" s="244"/>
      <c r="X9" s="244"/>
      <c r="Y9" s="244"/>
      <c r="Z9" s="244"/>
      <c r="AA9" s="244"/>
    </row>
    <row r="10" spans="2:33" x14ac:dyDescent="0.25">
      <c r="B10" s="137" t="s">
        <v>73</v>
      </c>
      <c r="C10" s="138"/>
      <c r="D10" s="138">
        <f>+D5*(1-D9)-D8</f>
        <v>24245</v>
      </c>
      <c r="F10" s="134" t="s">
        <v>65</v>
      </c>
      <c r="M10" s="244"/>
      <c r="N10" s="244"/>
      <c r="O10" s="244"/>
      <c r="P10" s="244"/>
      <c r="Q10" s="244"/>
      <c r="R10" s="244"/>
      <c r="S10" s="244"/>
      <c r="T10" s="244"/>
      <c r="U10" s="244"/>
      <c r="V10" s="244"/>
      <c r="W10" s="244"/>
      <c r="X10" s="244"/>
      <c r="Y10" s="244"/>
      <c r="Z10" s="244"/>
      <c r="AA10" s="244"/>
    </row>
    <row r="11" spans="2:33" x14ac:dyDescent="0.25">
      <c r="B11" s="215"/>
      <c r="C11" s="230"/>
      <c r="D11" s="230"/>
      <c r="F11" s="135"/>
      <c r="M11" s="244"/>
      <c r="N11" s="244"/>
      <c r="O11" s="244"/>
      <c r="P11" s="244"/>
      <c r="Q11" s="244"/>
      <c r="R11" s="244"/>
      <c r="S11" s="244"/>
      <c r="T11" s="244"/>
      <c r="U11" s="244"/>
      <c r="V11" s="244"/>
      <c r="W11" s="244"/>
      <c r="X11" s="244"/>
      <c r="Y11" s="244"/>
      <c r="Z11" s="244"/>
      <c r="AA11" s="244"/>
    </row>
    <row r="12" spans="2:33" ht="13.95" customHeight="1" thickBot="1" x14ac:dyDescent="0.3">
      <c r="M12" s="244"/>
      <c r="N12" s="244"/>
      <c r="O12" s="244"/>
      <c r="P12" s="244"/>
      <c r="Q12" s="244"/>
      <c r="R12" s="244"/>
      <c r="S12" s="244"/>
      <c r="T12" s="244"/>
      <c r="U12" s="244"/>
      <c r="V12" s="244"/>
      <c r="W12" s="244"/>
      <c r="X12" s="244"/>
      <c r="Y12" s="244"/>
      <c r="Z12" s="244"/>
      <c r="AA12" s="244"/>
    </row>
    <row r="13" spans="2:33" ht="17.399999999999999" customHeight="1" thickBot="1" x14ac:dyDescent="0.3">
      <c r="B13" s="53" t="s">
        <v>148</v>
      </c>
      <c r="C13" s="703"/>
      <c r="D13" s="704"/>
      <c r="E13" s="140" t="s">
        <v>149</v>
      </c>
      <c r="F13" s="141" t="s">
        <v>149</v>
      </c>
      <c r="G13" s="142"/>
      <c r="H13" s="143" t="s">
        <v>76</v>
      </c>
      <c r="I13" s="320" t="s">
        <v>76</v>
      </c>
      <c r="J13" s="321"/>
      <c r="K13" s="145" t="s">
        <v>77</v>
      </c>
      <c r="L13" s="146" t="s">
        <v>77</v>
      </c>
      <c r="M13" s="261"/>
      <c r="N13" s="244"/>
      <c r="O13" s="244"/>
      <c r="P13" s="244"/>
      <c r="Q13" s="244"/>
      <c r="R13" s="244"/>
      <c r="S13" s="244"/>
      <c r="T13" s="244"/>
      <c r="U13" s="244"/>
      <c r="V13" s="244"/>
      <c r="W13" s="244"/>
      <c r="X13" s="244"/>
      <c r="Y13" s="244"/>
      <c r="Z13" s="244"/>
      <c r="AA13" s="244"/>
    </row>
    <row r="14" spans="2:33" ht="14.4" customHeight="1" thickBot="1" x14ac:dyDescent="0.3">
      <c r="B14" s="147" t="s">
        <v>78</v>
      </c>
      <c r="C14" s="1689" t="s">
        <v>150</v>
      </c>
      <c r="D14" s="1681"/>
      <c r="E14" s="148" t="s">
        <v>80</v>
      </c>
      <c r="F14" s="149" t="s">
        <v>188</v>
      </c>
      <c r="G14" s="150" t="s">
        <v>82</v>
      </c>
      <c r="H14" s="151" t="s">
        <v>81</v>
      </c>
      <c r="I14" s="322" t="s">
        <v>188</v>
      </c>
      <c r="J14" s="323" t="s">
        <v>72</v>
      </c>
      <c r="K14" s="154" t="s">
        <v>81</v>
      </c>
      <c r="L14" s="324" t="s">
        <v>188</v>
      </c>
      <c r="M14" s="325" t="s">
        <v>72</v>
      </c>
      <c r="N14" s="244"/>
      <c r="O14" s="244"/>
      <c r="P14" s="244"/>
      <c r="Q14" s="244"/>
      <c r="R14" s="244"/>
      <c r="S14" s="244"/>
      <c r="T14" s="244"/>
      <c r="U14" s="244"/>
      <c r="V14" s="244"/>
      <c r="W14" s="244"/>
      <c r="X14" s="244"/>
      <c r="Y14" s="244"/>
      <c r="Z14" s="244"/>
      <c r="AA14" s="244"/>
    </row>
    <row r="15" spans="2:33" x14ac:dyDescent="0.25">
      <c r="B15" s="157" t="s">
        <v>151</v>
      </c>
      <c r="C15" s="861" t="e">
        <f>+'Maíz 2º'!#REF!</f>
        <v>#REF!</v>
      </c>
      <c r="D15" s="158" t="s">
        <v>85</v>
      </c>
      <c r="E15" s="159" t="e">
        <f>+Valores!#REF!</f>
        <v>#REF!</v>
      </c>
      <c r="F15" s="160">
        <f>+Valores!F17</f>
        <v>45</v>
      </c>
      <c r="G15" s="161" t="s">
        <v>152</v>
      </c>
      <c r="H15" s="721" t="e">
        <f>+E15*C15*$N$7</f>
        <v>#REF!</v>
      </c>
      <c r="I15" s="862" t="e">
        <f>+F15*C15*$I$6</f>
        <v>#REF!</v>
      </c>
      <c r="J15" s="326" t="e">
        <f>+I15/H15-1</f>
        <v>#REF!</v>
      </c>
      <c r="K15" s="327" t="e">
        <f>H15/$C$10</f>
        <v>#REF!</v>
      </c>
      <c r="L15" s="328" t="e">
        <f>I15/$D$10</f>
        <v>#REF!</v>
      </c>
      <c r="M15" s="329" t="e">
        <f t="shared" ref="M15:M20" si="0">+L15/K15-1</f>
        <v>#REF!</v>
      </c>
    </row>
    <row r="16" spans="2:33" x14ac:dyDescent="0.25">
      <c r="B16" s="165" t="s">
        <v>153</v>
      </c>
      <c r="C16" s="861">
        <f>+'Maíz 2º'!C17</f>
        <v>0</v>
      </c>
      <c r="D16" s="695" t="s">
        <v>85</v>
      </c>
      <c r="E16" s="166" t="e">
        <f>+Valores!#REF!</f>
        <v>#REF!</v>
      </c>
      <c r="F16" s="167">
        <f>+Valores!F65</f>
        <v>4.3</v>
      </c>
      <c r="G16" s="168" t="s">
        <v>152</v>
      </c>
      <c r="H16" s="724" t="e">
        <f>+E16*C16*$N$7</f>
        <v>#REF!</v>
      </c>
      <c r="I16" s="863">
        <f>+F16*C16*$I$6</f>
        <v>0</v>
      </c>
      <c r="J16" s="330" t="e">
        <f>+I16/H16-1</f>
        <v>#REF!</v>
      </c>
      <c r="K16" s="331" t="e">
        <f>H16/$C$10</f>
        <v>#REF!</v>
      </c>
      <c r="L16" s="332">
        <f>I16/$D$10</f>
        <v>0</v>
      </c>
      <c r="M16" s="333" t="e">
        <f t="shared" si="0"/>
        <v>#REF!</v>
      </c>
      <c r="R16" s="244"/>
      <c r="S16" s="244"/>
      <c r="T16" s="244"/>
      <c r="U16" s="244"/>
      <c r="V16" s="244"/>
      <c r="W16" s="244"/>
      <c r="X16" s="244"/>
      <c r="Y16" s="244"/>
      <c r="Z16" s="244"/>
      <c r="AA16" s="244"/>
      <c r="AB16" s="244"/>
      <c r="AC16" s="244"/>
      <c r="AD16" s="244"/>
      <c r="AE16" s="244"/>
      <c r="AF16" s="244"/>
      <c r="AG16" s="244"/>
    </row>
    <row r="17" spans="2:33" x14ac:dyDescent="0.25">
      <c r="B17" s="165" t="s">
        <v>155</v>
      </c>
      <c r="C17" s="861">
        <f>+'Maíz 2º'!C18</f>
        <v>0</v>
      </c>
      <c r="D17" s="695" t="s">
        <v>128</v>
      </c>
      <c r="E17" s="166" t="e">
        <f>+Valores!#REF!</f>
        <v>#REF!</v>
      </c>
      <c r="F17" s="167">
        <f>+Valores!F56</f>
        <v>36.6</v>
      </c>
      <c r="G17" s="168" t="s">
        <v>152</v>
      </c>
      <c r="H17" s="724" t="e">
        <f>+E17*C17*$N$7</f>
        <v>#REF!</v>
      </c>
      <c r="I17" s="863">
        <f>+F17*C17*$I$6</f>
        <v>0</v>
      </c>
      <c r="J17" s="330" t="e">
        <f>+I17/H17-1</f>
        <v>#REF!</v>
      </c>
      <c r="K17" s="331" t="e">
        <f>H17/$C$10</f>
        <v>#REF!</v>
      </c>
      <c r="L17" s="332">
        <f>I17/$D$10</f>
        <v>0</v>
      </c>
      <c r="M17" s="333" t="e">
        <f t="shared" si="0"/>
        <v>#REF!</v>
      </c>
      <c r="R17" s="244"/>
      <c r="S17" s="244"/>
      <c r="T17" s="244"/>
      <c r="U17" s="244"/>
      <c r="V17" s="244"/>
      <c r="W17" s="244"/>
      <c r="X17" s="244"/>
      <c r="Y17" s="244"/>
      <c r="Z17" s="244"/>
      <c r="AA17" s="244"/>
      <c r="AB17" s="244"/>
      <c r="AC17" s="244"/>
      <c r="AD17" s="244"/>
      <c r="AE17" s="244"/>
      <c r="AF17" s="244"/>
      <c r="AG17" s="244"/>
    </row>
    <row r="18" spans="2:33" x14ac:dyDescent="0.25">
      <c r="B18" s="165" t="s">
        <v>158</v>
      </c>
      <c r="C18" s="861">
        <f>+'Maíz 2º'!C20</f>
        <v>2.5</v>
      </c>
      <c r="D18" s="695" t="s">
        <v>203</v>
      </c>
      <c r="E18" s="166" t="e">
        <f>+Valores!#REF!</f>
        <v>#REF!</v>
      </c>
      <c r="F18" s="167">
        <f>+Valores!F44</f>
        <v>6.95</v>
      </c>
      <c r="G18" s="168" t="s">
        <v>152</v>
      </c>
      <c r="H18" s="724" t="e">
        <f>+E18*C18*$N$7</f>
        <v>#REF!</v>
      </c>
      <c r="I18" s="863">
        <f>+F18*C18*$I$6</f>
        <v>26062.5</v>
      </c>
      <c r="J18" s="330" t="e">
        <f>+I18/H18-1</f>
        <v>#REF!</v>
      </c>
      <c r="K18" s="331" t="e">
        <f>H18/$C$10</f>
        <v>#REF!</v>
      </c>
      <c r="L18" s="332">
        <f>I18/$D$10</f>
        <v>1.0749639100845536</v>
      </c>
      <c r="M18" s="333" t="e">
        <f t="shared" si="0"/>
        <v>#REF!</v>
      </c>
      <c r="R18" s="244"/>
      <c r="S18" s="244"/>
      <c r="T18" s="244"/>
      <c r="U18" s="244"/>
      <c r="V18" s="244"/>
      <c r="W18" s="244"/>
      <c r="X18" s="244"/>
      <c r="Y18" s="244"/>
      <c r="Z18" s="244"/>
      <c r="AA18" s="244"/>
      <c r="AB18" s="244"/>
      <c r="AC18" s="244"/>
      <c r="AD18" s="244"/>
      <c r="AE18" s="244"/>
      <c r="AF18" s="244"/>
      <c r="AG18" s="244"/>
    </row>
    <row r="19" spans="2:33" x14ac:dyDescent="0.25">
      <c r="B19" s="165" t="s">
        <v>160</v>
      </c>
      <c r="C19" s="861">
        <f>+'Maíz 2º'!C23</f>
        <v>0.1</v>
      </c>
      <c r="D19" s="695" t="s">
        <v>85</v>
      </c>
      <c r="E19" s="166" t="e">
        <f>+Valores!#REF!</f>
        <v>#REF!</v>
      </c>
      <c r="F19" s="167" t="e">
        <f>+Valores!#REF!</f>
        <v>#REF!</v>
      </c>
      <c r="G19" s="168" t="s">
        <v>152</v>
      </c>
      <c r="H19" s="724" t="e">
        <f>+E19*C19*$N$7</f>
        <v>#REF!</v>
      </c>
      <c r="I19" s="863" t="e">
        <f>+F19*C19*$I$6</f>
        <v>#REF!</v>
      </c>
      <c r="J19" s="330" t="e">
        <f>+I19/H19-1</f>
        <v>#REF!</v>
      </c>
      <c r="K19" s="331" t="e">
        <f>H19/$C$10</f>
        <v>#REF!</v>
      </c>
      <c r="L19" s="332" t="e">
        <f>I19/$D$10</f>
        <v>#REF!</v>
      </c>
      <c r="M19" s="333" t="e">
        <f t="shared" si="0"/>
        <v>#REF!</v>
      </c>
      <c r="R19" s="244"/>
      <c r="S19" s="244"/>
      <c r="T19" s="244"/>
      <c r="U19" s="244"/>
      <c r="V19" s="244"/>
      <c r="W19" s="244"/>
      <c r="X19" s="244"/>
      <c r="Y19" s="244"/>
      <c r="Z19" s="244"/>
      <c r="AA19" s="244"/>
      <c r="AB19" s="244"/>
      <c r="AC19" s="244"/>
      <c r="AD19" s="244"/>
      <c r="AE19" s="244"/>
      <c r="AF19" s="244"/>
      <c r="AG19" s="244"/>
    </row>
    <row r="20" spans="2:33" ht="14.4" customHeight="1" thickBot="1" x14ac:dyDescent="0.3">
      <c r="B20" s="172" t="s">
        <v>162</v>
      </c>
      <c r="C20" s="173"/>
      <c r="D20" s="174"/>
      <c r="E20" s="175" t="e">
        <f>+H20/$N$7</f>
        <v>#REF!</v>
      </c>
      <c r="F20" s="176" t="e">
        <f>+I20/$I$6</f>
        <v>#REF!</v>
      </c>
      <c r="G20" s="177" t="s">
        <v>95</v>
      </c>
      <c r="H20" s="729" t="e">
        <f>SUM(H15:H19)</f>
        <v>#REF!</v>
      </c>
      <c r="I20" s="864" t="e">
        <f>SUM(I15:I19)</f>
        <v>#REF!</v>
      </c>
      <c r="J20" s="334" t="s">
        <v>96</v>
      </c>
      <c r="K20" s="335" t="e">
        <f>SUM(K15:K19)</f>
        <v>#REF!</v>
      </c>
      <c r="L20" s="336" t="e">
        <f>SUM(L15:L19)</f>
        <v>#REF!</v>
      </c>
      <c r="M20" s="337" t="e">
        <f t="shared" si="0"/>
        <v>#REF!</v>
      </c>
      <c r="R20" s="244"/>
      <c r="S20" s="244"/>
      <c r="T20" s="244"/>
      <c r="U20" s="244"/>
      <c r="V20" s="244"/>
      <c r="W20" s="244"/>
      <c r="X20" s="244"/>
      <c r="Y20" s="244"/>
      <c r="Z20" s="244"/>
      <c r="AA20" s="244"/>
      <c r="AB20" s="244"/>
      <c r="AC20" s="244"/>
      <c r="AD20" s="244"/>
      <c r="AE20" s="244"/>
      <c r="AF20" s="244"/>
      <c r="AG20" s="244"/>
    </row>
    <row r="21" spans="2:33" x14ac:dyDescent="0.25">
      <c r="B21" s="181"/>
      <c r="C21" s="731"/>
      <c r="D21" s="182"/>
      <c r="E21" s="732"/>
      <c r="F21" s="733"/>
      <c r="G21" s="183"/>
      <c r="H21" s="734"/>
      <c r="I21" s="865"/>
      <c r="J21" s="338"/>
      <c r="K21" s="339"/>
      <c r="L21" s="340"/>
      <c r="M21" s="193"/>
      <c r="N21" s="244"/>
      <c r="O21" s="244"/>
      <c r="P21" s="244"/>
      <c r="Q21" s="244"/>
      <c r="R21" s="244"/>
      <c r="S21" s="244"/>
      <c r="T21" s="244"/>
      <c r="U21" s="244"/>
      <c r="V21" s="244"/>
      <c r="W21" s="244"/>
      <c r="X21" s="244"/>
      <c r="Y21" s="244"/>
      <c r="Z21" s="244"/>
      <c r="AA21" s="244"/>
      <c r="AB21" s="244"/>
      <c r="AC21" s="244"/>
      <c r="AD21" s="244"/>
      <c r="AE21" s="244"/>
      <c r="AF21" s="244"/>
      <c r="AG21" s="244"/>
    </row>
    <row r="22" spans="2:33" x14ac:dyDescent="0.25">
      <c r="B22" s="165" t="s">
        <v>97</v>
      </c>
      <c r="C22" s="866">
        <f>+'Maíz 2º'!C28</f>
        <v>0</v>
      </c>
      <c r="D22" s="695" t="s">
        <v>98</v>
      </c>
      <c r="E22" s="737" t="e">
        <f>+Valores!#REF!</f>
        <v>#REF!</v>
      </c>
      <c r="F22" s="814">
        <f>+Valores!F12</f>
        <v>1040</v>
      </c>
      <c r="G22" s="168" t="s">
        <v>152</v>
      </c>
      <c r="H22" s="724" t="e">
        <f>+E22*C22*$N$7/1000</f>
        <v>#REF!</v>
      </c>
      <c r="I22" s="863">
        <f>+F22*C22*$I$6/1000</f>
        <v>0</v>
      </c>
      <c r="J22" s="330" t="e">
        <f>+I22/H22-1</f>
        <v>#REF!</v>
      </c>
      <c r="K22" s="331" t="e">
        <f>H22/$C$10</f>
        <v>#REF!</v>
      </c>
      <c r="L22" s="332">
        <f>I22/$D$10</f>
        <v>0</v>
      </c>
      <c r="M22" s="333" t="e">
        <f>+L22/K22-1</f>
        <v>#REF!</v>
      </c>
      <c r="N22" s="244"/>
      <c r="O22" s="244"/>
      <c r="P22" s="244"/>
      <c r="Q22" s="244"/>
      <c r="R22" s="244"/>
      <c r="S22" s="244"/>
      <c r="T22" s="244"/>
      <c r="U22" s="244"/>
      <c r="V22" s="244"/>
      <c r="W22" s="244"/>
      <c r="X22" s="244"/>
      <c r="Y22" s="244"/>
      <c r="Z22" s="244"/>
      <c r="AA22" s="244"/>
      <c r="AB22" s="244"/>
      <c r="AC22" s="244"/>
      <c r="AD22" s="244"/>
      <c r="AE22" s="244"/>
      <c r="AF22" s="244"/>
      <c r="AG22" s="244"/>
    </row>
    <row r="23" spans="2:33" x14ac:dyDescent="0.25">
      <c r="B23" s="165" t="s">
        <v>10</v>
      </c>
      <c r="C23" s="866">
        <f>+'Maíz 2º'!C29</f>
        <v>0</v>
      </c>
      <c r="D23" s="695" t="s">
        <v>98</v>
      </c>
      <c r="E23" s="166" t="e">
        <f>+Valores!#REF!</f>
        <v>#REF!</v>
      </c>
      <c r="F23" s="814">
        <f>+Valores!F11</f>
        <v>970</v>
      </c>
      <c r="G23" s="168" t="s">
        <v>152</v>
      </c>
      <c r="H23" s="724" t="e">
        <f>+E23*C23*$N$7/1000</f>
        <v>#REF!</v>
      </c>
      <c r="I23" s="863">
        <f>+F23*C23*$I$6/1000</f>
        <v>0</v>
      </c>
      <c r="J23" s="330" t="e">
        <f>+I23/H23-1</f>
        <v>#REF!</v>
      </c>
      <c r="K23" s="331" t="e">
        <f>H23/$C$10</f>
        <v>#REF!</v>
      </c>
      <c r="L23" s="332">
        <f>I23/$D$10</f>
        <v>0</v>
      </c>
      <c r="M23" s="333" t="e">
        <f>+L23/K23-1</f>
        <v>#REF!</v>
      </c>
      <c r="N23" s="244"/>
      <c r="O23" s="244"/>
      <c r="P23" s="244"/>
      <c r="Q23" s="244"/>
      <c r="R23" s="244"/>
      <c r="S23" s="244"/>
      <c r="T23" s="244"/>
      <c r="U23" s="244"/>
      <c r="V23" s="244"/>
      <c r="W23" s="244"/>
      <c r="X23" s="244"/>
      <c r="Y23" s="244"/>
      <c r="Z23" s="244"/>
      <c r="AA23" s="244"/>
    </row>
    <row r="24" spans="2:33" ht="14.4" customHeight="1" thickBot="1" x14ac:dyDescent="0.3">
      <c r="B24" s="172" t="s">
        <v>163</v>
      </c>
      <c r="C24" s="173"/>
      <c r="D24" s="174"/>
      <c r="E24" s="175" t="e">
        <f>+H24/$N$7</f>
        <v>#REF!</v>
      </c>
      <c r="F24" s="176">
        <f>+I24/$I$6</f>
        <v>0</v>
      </c>
      <c r="G24" s="177" t="s">
        <v>95</v>
      </c>
      <c r="H24" s="729" t="e">
        <f>SUM(H22:H23)</f>
        <v>#REF!</v>
      </c>
      <c r="I24" s="864">
        <f>SUM(I22:I23)</f>
        <v>0</v>
      </c>
      <c r="J24" s="334" t="s">
        <v>96</v>
      </c>
      <c r="K24" s="335" t="e">
        <f>SUM(K22:K23)</f>
        <v>#REF!</v>
      </c>
      <c r="L24" s="336">
        <f>SUM(L22:L23)</f>
        <v>0</v>
      </c>
      <c r="M24" s="337" t="e">
        <f>+L24/K24-1</f>
        <v>#REF!</v>
      </c>
    </row>
    <row r="25" spans="2:33" x14ac:dyDescent="0.25">
      <c r="B25" s="181"/>
      <c r="C25" s="187"/>
      <c r="D25" s="182"/>
      <c r="E25" s="188"/>
      <c r="F25" s="189"/>
      <c r="G25" s="183"/>
      <c r="H25" s="734"/>
      <c r="I25" s="865"/>
      <c r="J25" s="338"/>
      <c r="K25" s="339"/>
      <c r="L25" s="340"/>
      <c r="M25" s="193"/>
      <c r="N25" s="244"/>
      <c r="O25" s="244"/>
      <c r="P25" s="244"/>
      <c r="Q25" s="244"/>
      <c r="R25" s="244"/>
      <c r="S25" s="244"/>
      <c r="T25" s="244"/>
      <c r="U25" s="244"/>
      <c r="V25" s="244"/>
      <c r="W25" s="244"/>
      <c r="X25" s="244"/>
      <c r="Y25" s="244"/>
      <c r="Z25" s="244"/>
      <c r="AA25" s="244"/>
    </row>
    <row r="26" spans="2:33" ht="14.4" customHeight="1" thickBot="1" x14ac:dyDescent="0.3">
      <c r="B26" s="222" t="s">
        <v>164</v>
      </c>
      <c r="C26" s="351">
        <f>+'Maíz 2º'!C33</f>
        <v>1</v>
      </c>
      <c r="D26" s="223" t="s">
        <v>165</v>
      </c>
      <c r="E26" s="175" t="e">
        <f>+Valores!#REF!</f>
        <v>#REF!</v>
      </c>
      <c r="F26" s="341">
        <f>+Valores!F89</f>
        <v>190</v>
      </c>
      <c r="G26" s="190" t="s">
        <v>193</v>
      </c>
      <c r="H26" s="729" t="e">
        <f>+E26*C26*$N$7</f>
        <v>#REF!</v>
      </c>
      <c r="I26" s="864">
        <f>+F26*C26*$I$6</f>
        <v>285000</v>
      </c>
      <c r="J26" s="342" t="e">
        <f>+I26/H26-1</f>
        <v>#REF!</v>
      </c>
      <c r="K26" s="335" t="e">
        <f>H26/$C$10</f>
        <v>#REF!</v>
      </c>
      <c r="L26" s="336">
        <f>I26/$D$10</f>
        <v>11.755001031140441</v>
      </c>
      <c r="M26" s="343" t="e">
        <f>+L26/K26-1</f>
        <v>#REF!</v>
      </c>
      <c r="N26" s="244"/>
      <c r="O26" s="244"/>
      <c r="P26" s="244"/>
      <c r="Q26" s="244"/>
      <c r="R26" s="244"/>
      <c r="S26" s="244"/>
      <c r="T26" s="244"/>
      <c r="U26" s="244"/>
      <c r="V26" s="244"/>
      <c r="W26" s="244"/>
      <c r="X26" s="244"/>
      <c r="Y26" s="244"/>
      <c r="Z26" s="244"/>
      <c r="AA26" s="244"/>
    </row>
    <row r="27" spans="2:33" x14ac:dyDescent="0.25">
      <c r="B27" s="181"/>
      <c r="C27" s="187"/>
      <c r="D27" s="182"/>
      <c r="E27" s="188"/>
      <c r="F27" s="189"/>
      <c r="G27" s="183"/>
      <c r="H27" s="734"/>
      <c r="I27" s="865"/>
      <c r="J27" s="338"/>
      <c r="K27" s="339"/>
      <c r="L27" s="340"/>
      <c r="M27" s="193"/>
      <c r="N27" s="244"/>
      <c r="O27" s="244"/>
      <c r="P27" s="244"/>
      <c r="Q27" s="244"/>
      <c r="R27" s="244"/>
      <c r="S27" s="244"/>
      <c r="T27" s="244"/>
      <c r="U27" s="244"/>
      <c r="V27" s="244"/>
      <c r="W27" s="244"/>
      <c r="X27" s="244"/>
      <c r="Y27" s="244"/>
      <c r="Z27" s="244"/>
      <c r="AA27" s="244"/>
    </row>
    <row r="28" spans="2:33" outlineLevel="1" x14ac:dyDescent="0.25">
      <c r="B28" s="165" t="s">
        <v>194</v>
      </c>
      <c r="C28" s="350">
        <f>+'Maíz 2º'!C36</f>
        <v>100</v>
      </c>
      <c r="D28" s="695" t="s">
        <v>103</v>
      </c>
      <c r="E28" s="166" t="e">
        <f>+Valores!#REF!</f>
        <v>#REF!</v>
      </c>
      <c r="F28" s="167">
        <f>+Valores!F110</f>
        <v>55</v>
      </c>
      <c r="G28" s="168" t="s">
        <v>96</v>
      </c>
      <c r="H28" s="724" t="e">
        <f>C28*E28</f>
        <v>#REF!</v>
      </c>
      <c r="I28" s="863">
        <f>C28*F28</f>
        <v>5500</v>
      </c>
      <c r="J28" s="330" t="e">
        <f>+I28/H28-1</f>
        <v>#REF!</v>
      </c>
      <c r="K28" s="331" t="e">
        <f>H28/$C$10</f>
        <v>#REF!</v>
      </c>
      <c r="L28" s="332">
        <f>I28/$D$10</f>
        <v>0.22685089709218395</v>
      </c>
      <c r="M28" s="333" t="e">
        <f>+L28/K28-1</f>
        <v>#REF!</v>
      </c>
      <c r="N28" s="244"/>
      <c r="O28" s="244"/>
      <c r="P28" s="244"/>
      <c r="Q28" s="244"/>
      <c r="R28" s="244"/>
      <c r="S28" s="244"/>
      <c r="T28" s="244"/>
      <c r="U28" s="244"/>
      <c r="V28" s="244"/>
      <c r="W28" s="244"/>
      <c r="X28" s="244"/>
      <c r="Y28" s="244"/>
      <c r="Z28" s="244"/>
      <c r="AA28" s="244"/>
    </row>
    <row r="29" spans="2:33" outlineLevel="1" x14ac:dyDescent="0.25">
      <c r="B29" s="165" t="s">
        <v>46</v>
      </c>
      <c r="C29" s="350">
        <f>+'Maíz 2º'!C38</f>
        <v>0</v>
      </c>
      <c r="D29" s="695" t="s">
        <v>167</v>
      </c>
      <c r="E29" s="166" t="e">
        <f>+Valores!#REF!</f>
        <v>#REF!</v>
      </c>
      <c r="F29" s="167">
        <f>+Valores!F99</f>
        <v>14</v>
      </c>
      <c r="G29" s="168" t="s">
        <v>96</v>
      </c>
      <c r="H29" s="724" t="e">
        <f>C29*E29</f>
        <v>#REF!</v>
      </c>
      <c r="I29" s="863">
        <f>C29*F29</f>
        <v>0</v>
      </c>
      <c r="J29" s="330" t="e">
        <f>+I29/H29-1</f>
        <v>#REF!</v>
      </c>
      <c r="K29" s="331" t="e">
        <f>H29/$C$10</f>
        <v>#REF!</v>
      </c>
      <c r="L29" s="332">
        <f>I29/$D$10</f>
        <v>0</v>
      </c>
      <c r="M29" s="333" t="e">
        <f>+L29/K29-1</f>
        <v>#REF!</v>
      </c>
      <c r="N29" s="244"/>
      <c r="O29" s="244"/>
      <c r="P29" s="244"/>
      <c r="Q29" s="244"/>
      <c r="R29" s="244"/>
      <c r="S29" s="244"/>
      <c r="T29" s="244"/>
      <c r="U29" s="244"/>
      <c r="V29" s="244"/>
      <c r="W29" s="244"/>
      <c r="X29" s="244"/>
      <c r="Y29" s="244"/>
      <c r="Z29" s="244"/>
      <c r="AA29" s="244"/>
    </row>
    <row r="30" spans="2:33" outlineLevel="1" x14ac:dyDescent="0.25">
      <c r="B30" s="165" t="s">
        <v>48</v>
      </c>
      <c r="C30" s="350">
        <f>+'Maíz 2º'!C39</f>
        <v>0</v>
      </c>
      <c r="D30" s="695" t="s">
        <v>134</v>
      </c>
      <c r="E30" s="166" t="e">
        <f>+Valores!#REF!</f>
        <v>#REF!</v>
      </c>
      <c r="F30" s="167">
        <f>+Valores!F101</f>
        <v>8</v>
      </c>
      <c r="G30" s="168" t="s">
        <v>96</v>
      </c>
      <c r="H30" s="724" t="e">
        <f>C30*E30</f>
        <v>#REF!</v>
      </c>
      <c r="I30" s="863">
        <f>C30*F30</f>
        <v>0</v>
      </c>
      <c r="J30" s="330" t="e">
        <f>+I30/H30-1</f>
        <v>#REF!</v>
      </c>
      <c r="K30" s="331" t="e">
        <f>H30/$C$10</f>
        <v>#REF!</v>
      </c>
      <c r="L30" s="332">
        <f>I30/$D$10</f>
        <v>0</v>
      </c>
      <c r="M30" s="333" t="e">
        <f>+L30/K30-1</f>
        <v>#REF!</v>
      </c>
      <c r="N30" s="244"/>
      <c r="O30" s="244"/>
      <c r="P30" s="244"/>
      <c r="Q30" s="244"/>
      <c r="R30" s="244"/>
      <c r="S30" s="244"/>
      <c r="T30" s="244"/>
      <c r="U30" s="244"/>
      <c r="V30" s="244"/>
      <c r="W30" s="244"/>
      <c r="X30" s="244"/>
      <c r="Y30" s="244"/>
      <c r="Z30" s="244"/>
      <c r="AA30" s="244"/>
    </row>
    <row r="31" spans="2:33" ht="14.4" customHeight="1" thickBot="1" x14ac:dyDescent="0.3">
      <c r="B31" s="172" t="s">
        <v>105</v>
      </c>
      <c r="C31" s="173"/>
      <c r="D31" s="174"/>
      <c r="E31" s="175" t="e">
        <f>+H31/$N$7</f>
        <v>#REF!</v>
      </c>
      <c r="F31" s="176">
        <f>+I31/$I$6</f>
        <v>3.6666666666666665</v>
      </c>
      <c r="G31" s="177" t="s">
        <v>95</v>
      </c>
      <c r="H31" s="729" t="e">
        <f>SUM(H28:H30)</f>
        <v>#REF!</v>
      </c>
      <c r="I31" s="864">
        <f>SUM(I28:I30)</f>
        <v>5500</v>
      </c>
      <c r="J31" s="334" t="s">
        <v>96</v>
      </c>
      <c r="K31" s="335" t="e">
        <f>SUM(K28:K30)</f>
        <v>#REF!</v>
      </c>
      <c r="L31" s="336">
        <f>SUM(L28:L30)</f>
        <v>0.22685089709218395</v>
      </c>
      <c r="M31" s="337" t="e">
        <f>+L31/K31-1</f>
        <v>#REF!</v>
      </c>
    </row>
    <row r="32" spans="2:33" x14ac:dyDescent="0.25">
      <c r="B32" s="181"/>
      <c r="C32" s="187"/>
      <c r="D32" s="182"/>
      <c r="E32" s="188"/>
      <c r="F32" s="189"/>
      <c r="G32" s="183"/>
      <c r="H32" s="734"/>
      <c r="I32" s="865"/>
      <c r="J32" s="338"/>
      <c r="K32" s="339"/>
      <c r="L32" s="340"/>
      <c r="M32" s="193"/>
    </row>
    <row r="33" spans="2:27" ht="13.95" customHeight="1" x14ac:dyDescent="0.25">
      <c r="B33" s="165" t="s">
        <v>106</v>
      </c>
      <c r="C33" s="350">
        <f>+'Maíz 2º'!C42</f>
        <v>80</v>
      </c>
      <c r="D33" s="695" t="s">
        <v>107</v>
      </c>
      <c r="E33" s="234" t="e">
        <f>+Valores!#REF!</f>
        <v>#REF!</v>
      </c>
      <c r="F33" s="235">
        <v>3.15E-2</v>
      </c>
      <c r="G33" s="168" t="s">
        <v>72</v>
      </c>
      <c r="H33" s="768" t="e">
        <f>+E33*C33*C10</f>
        <v>#REF!</v>
      </c>
      <c r="I33" s="867">
        <f>+F33*C33*D10</f>
        <v>61097.4</v>
      </c>
      <c r="J33" s="330" t="e">
        <f>+I33/H33-1</f>
        <v>#REF!</v>
      </c>
      <c r="K33" s="344" t="e">
        <f>H33/$C$10</f>
        <v>#REF!</v>
      </c>
      <c r="L33" s="345">
        <f>I33/$D$10</f>
        <v>2.52</v>
      </c>
      <c r="M33" s="333" t="e">
        <f>+L33/K33-1</f>
        <v>#REF!</v>
      </c>
      <c r="N33" s="238"/>
      <c r="O33" s="238"/>
      <c r="P33" s="238"/>
      <c r="Q33" s="238"/>
      <c r="R33" s="238"/>
      <c r="S33" s="238"/>
      <c r="T33" s="238"/>
      <c r="U33" s="238"/>
      <c r="V33" s="238"/>
      <c r="W33" s="238"/>
      <c r="X33" s="238"/>
      <c r="Y33" s="238"/>
      <c r="Z33" s="238"/>
      <c r="AA33" s="238"/>
    </row>
    <row r="34" spans="2:27" ht="13.95" customHeight="1" thickBot="1" x14ac:dyDescent="0.3">
      <c r="B34" s="198"/>
      <c r="C34" s="199"/>
      <c r="D34" s="200"/>
      <c r="E34" s="201"/>
      <c r="F34" s="202"/>
      <c r="G34" s="203"/>
      <c r="H34" s="742"/>
      <c r="I34" s="742"/>
      <c r="J34" s="206"/>
      <c r="K34" s="204"/>
      <c r="L34" s="346"/>
      <c r="M34" s="347"/>
      <c r="N34" s="238"/>
      <c r="O34" s="238"/>
      <c r="P34" s="238"/>
      <c r="Q34" s="238"/>
      <c r="R34" s="238"/>
      <c r="S34" s="238"/>
      <c r="T34" s="238"/>
      <c r="U34" s="238"/>
      <c r="V34" s="238"/>
      <c r="W34" s="238"/>
      <c r="X34" s="238"/>
      <c r="Y34" s="238"/>
      <c r="Z34" s="238"/>
      <c r="AA34" s="238"/>
    </row>
    <row r="35" spans="2:27" ht="16.2" customHeight="1" thickBot="1" x14ac:dyDescent="0.3">
      <c r="B35" s="239" t="s">
        <v>108</v>
      </c>
      <c r="C35" s="240"/>
      <c r="D35" s="240"/>
      <c r="E35" s="770" t="e">
        <f>+H35/N7</f>
        <v>#REF!</v>
      </c>
      <c r="F35" s="857" t="e">
        <f>+I35/I6</f>
        <v>#REF!</v>
      </c>
      <c r="G35" s="241"/>
      <c r="H35" s="771" t="e">
        <f>+H20+H24+H26+H31+H33</f>
        <v>#REF!</v>
      </c>
      <c r="I35" s="771" t="e">
        <f>+I20+I24+I26+I31+I33</f>
        <v>#REF!</v>
      </c>
      <c r="J35" s="241" t="e">
        <f>+I35/H35-1</f>
        <v>#REF!</v>
      </c>
      <c r="K35" s="242" t="e">
        <f>+K20+K24+K26+K31+K33</f>
        <v>#REF!</v>
      </c>
      <c r="L35" s="242" t="e">
        <f>+L20+L24+L26+L31+L33</f>
        <v>#REF!</v>
      </c>
      <c r="M35" s="243" t="e">
        <f>+L35/K35-1</f>
        <v>#REF!</v>
      </c>
    </row>
    <row r="36" spans="2:27" x14ac:dyDescent="0.25">
      <c r="L36" s="112"/>
      <c r="M36" s="112"/>
      <c r="N36" s="112"/>
      <c r="O36" s="112"/>
      <c r="P36" s="112"/>
      <c r="Q36" s="112"/>
      <c r="R36" s="112"/>
      <c r="S36" s="112"/>
      <c r="T36" s="112"/>
      <c r="U36" s="112"/>
      <c r="V36" s="112"/>
      <c r="W36" s="112"/>
      <c r="X36" s="112"/>
      <c r="Y36" s="112"/>
      <c r="Z36" s="112"/>
      <c r="AA36" s="112"/>
    </row>
    <row r="37" spans="2:27" ht="13.95" customHeight="1" thickBot="1" x14ac:dyDescent="0.3">
      <c r="L37" s="112"/>
      <c r="M37" s="112"/>
      <c r="N37" s="112"/>
      <c r="O37" s="112"/>
      <c r="P37" s="112"/>
      <c r="Q37" s="112"/>
      <c r="R37" s="112"/>
      <c r="S37" s="112"/>
      <c r="T37" s="112"/>
      <c r="U37" s="112"/>
      <c r="V37" s="112"/>
      <c r="W37" s="112"/>
      <c r="X37" s="112"/>
      <c r="Y37" s="112"/>
      <c r="Z37" s="112"/>
      <c r="AA37" s="112"/>
    </row>
    <row r="38" spans="2:27" ht="16.2" customHeight="1" thickBot="1" x14ac:dyDescent="0.3">
      <c r="B38" s="1708" t="s">
        <v>168</v>
      </c>
      <c r="C38" s="1686"/>
      <c r="D38" s="1687"/>
      <c r="M38" s="112"/>
      <c r="N38" s="112"/>
      <c r="O38" s="112"/>
      <c r="P38" s="112"/>
      <c r="Q38" s="112"/>
      <c r="R38" s="112"/>
      <c r="S38" s="112"/>
      <c r="T38" s="112"/>
      <c r="U38" s="112"/>
      <c r="V38" s="112"/>
      <c r="W38" s="112"/>
      <c r="X38" s="112"/>
      <c r="Y38" s="112"/>
      <c r="Z38" s="112"/>
      <c r="AA38" s="112"/>
    </row>
    <row r="39" spans="2:27" ht="18" customHeight="1" thickTop="1" thickBot="1" x14ac:dyDescent="0.3">
      <c r="B39" s="748">
        <f>+L39*D10*C39/100</f>
        <v>145470</v>
      </c>
      <c r="C39" s="868">
        <f>+'Maíz 2º'!C48</f>
        <v>8</v>
      </c>
      <c r="D39" s="232" t="s">
        <v>72</v>
      </c>
      <c r="F39" s="246"/>
      <c r="G39" s="247"/>
      <c r="I39" s="248" t="s">
        <v>110</v>
      </c>
      <c r="L39" s="262">
        <f>+RESUMEN!H9</f>
        <v>75</v>
      </c>
      <c r="M39" s="261"/>
      <c r="O39" s="244"/>
      <c r="P39" s="244"/>
      <c r="Q39" s="244"/>
      <c r="R39" s="244"/>
      <c r="S39" s="244"/>
      <c r="T39" s="244"/>
      <c r="U39" s="244"/>
      <c r="V39" s="244"/>
      <c r="W39" s="244"/>
      <c r="X39" s="244"/>
      <c r="Y39" s="244"/>
      <c r="Z39" s="244"/>
      <c r="AA39" s="244"/>
    </row>
    <row r="40" spans="2:27" ht="15" customHeight="1" thickTop="1" thickBot="1" x14ac:dyDescent="0.3">
      <c r="I40" s="314" t="s">
        <v>217</v>
      </c>
      <c r="J40" s="313"/>
      <c r="K40" s="313"/>
      <c r="L40" s="315" t="e">
        <f>((I35+F47)/(D10-C42-C43))/(100-C39)*100</f>
        <v>#REF!</v>
      </c>
      <c r="M40" s="261"/>
      <c r="O40" s="244"/>
      <c r="P40" s="772"/>
      <c r="Q40" s="244"/>
      <c r="R40" s="244"/>
      <c r="S40" s="244"/>
      <c r="T40" s="244"/>
      <c r="U40" s="244"/>
      <c r="V40" s="244"/>
      <c r="W40" s="244"/>
      <c r="X40" s="244"/>
      <c r="Y40" s="244"/>
      <c r="Z40" s="244"/>
      <c r="AA40" s="244"/>
    </row>
    <row r="41" spans="2:27" ht="16.2" customHeight="1" thickBot="1" x14ac:dyDescent="0.3">
      <c r="B41" s="1708" t="s">
        <v>170</v>
      </c>
      <c r="C41" s="1686"/>
      <c r="D41" s="1687"/>
      <c r="L41" s="261"/>
      <c r="M41" s="261"/>
      <c r="P41" s="773"/>
    </row>
    <row r="42" spans="2:27" x14ac:dyDescent="0.25">
      <c r="B42" s="187" t="s">
        <v>113</v>
      </c>
      <c r="C42" s="352">
        <f>+'Maíz 2º'!C51</f>
        <v>700</v>
      </c>
      <c r="D42" s="232" t="s">
        <v>65</v>
      </c>
      <c r="L42" s="261"/>
      <c r="M42" s="261"/>
      <c r="O42" s="244"/>
      <c r="P42" s="772"/>
      <c r="Q42" s="244"/>
      <c r="R42" s="244"/>
      <c r="S42" s="244"/>
      <c r="T42" s="244"/>
      <c r="U42" s="244"/>
      <c r="V42" s="244"/>
      <c r="W42" s="244"/>
      <c r="X42" s="244"/>
      <c r="Y42" s="244"/>
      <c r="Z42" s="244"/>
      <c r="AA42" s="244"/>
    </row>
    <row r="43" spans="2:27" x14ac:dyDescent="0.25">
      <c r="B43" s="214" t="s">
        <v>115</v>
      </c>
      <c r="C43" s="352">
        <f>+'Maíz 2º'!C52</f>
        <v>500</v>
      </c>
      <c r="D43" s="232" t="s">
        <v>65</v>
      </c>
      <c r="L43" s="261"/>
      <c r="M43" s="261"/>
      <c r="P43" s="772"/>
    </row>
    <row r="44" spans="2:27" x14ac:dyDescent="0.25">
      <c r="L44" s="261"/>
      <c r="M44" s="261"/>
    </row>
    <row r="45" spans="2:27" ht="13.95" customHeight="1" thickBot="1" x14ac:dyDescent="0.3">
      <c r="L45" s="261"/>
      <c r="M45" s="261"/>
      <c r="N45" s="261"/>
    </row>
    <row r="46" spans="2:27" ht="16.2" customHeight="1" thickBot="1" x14ac:dyDescent="0.3">
      <c r="B46" s="1700" t="s">
        <v>143</v>
      </c>
      <c r="C46" s="1686"/>
      <c r="D46" s="1686"/>
      <c r="E46" s="1686"/>
      <c r="F46" s="1687"/>
      <c r="H46" s="1701" t="s">
        <v>171</v>
      </c>
      <c r="I46" s="1699"/>
      <c r="L46" s="261"/>
      <c r="M46" s="261"/>
      <c r="N46" s="261"/>
      <c r="Q46" s="244"/>
      <c r="R46" s="244"/>
      <c r="S46" s="244"/>
      <c r="T46" s="244"/>
      <c r="U46" s="244"/>
      <c r="V46" s="244"/>
      <c r="W46" s="244"/>
      <c r="X46" s="244"/>
      <c r="Y46" s="244"/>
      <c r="Z46" s="244"/>
      <c r="AA46" s="244"/>
    </row>
    <row r="47" spans="2:27" x14ac:dyDescent="0.25">
      <c r="C47" s="456">
        <f>+RESUMEN!D10</f>
        <v>17</v>
      </c>
      <c r="D47" s="28" t="s">
        <v>144</v>
      </c>
      <c r="E47" s="348">
        <v>18</v>
      </c>
      <c r="F47" s="775">
        <f>+C47*Sj1º!D5</f>
        <v>816000</v>
      </c>
      <c r="G47" s="29" t="s">
        <v>117</v>
      </c>
      <c r="H47" s="774" t="e">
        <f>+E47*Sj1º!C5</f>
        <v>#REF!</v>
      </c>
      <c r="I47" s="84">
        <f>+F47/D10</f>
        <v>33.656424004949471</v>
      </c>
      <c r="L47" s="349" t="s">
        <v>77</v>
      </c>
      <c r="M47" s="261"/>
      <c r="N47" s="261"/>
      <c r="R47" s="244"/>
      <c r="S47" s="244"/>
      <c r="T47" s="244"/>
      <c r="U47" s="244"/>
      <c r="V47" s="244"/>
      <c r="W47" s="244"/>
      <c r="X47" s="244"/>
      <c r="Y47" s="244"/>
      <c r="Z47" s="244"/>
      <c r="AA47" s="244"/>
    </row>
    <row r="48" spans="2:27" x14ac:dyDescent="0.25">
      <c r="D48" s="80" t="s">
        <v>118</v>
      </c>
      <c r="F48" s="763">
        <f>+F47/I6</f>
        <v>544</v>
      </c>
      <c r="H48" s="763" t="e">
        <f>+H47/N7</f>
        <v>#REF!</v>
      </c>
      <c r="L48" s="81"/>
      <c r="M48" s="261"/>
      <c r="N48" s="261"/>
      <c r="O48" s="261"/>
      <c r="Q48" s="244"/>
      <c r="R48" s="244"/>
      <c r="S48" s="244"/>
      <c r="T48" s="244"/>
      <c r="U48" s="244"/>
      <c r="V48" s="244"/>
      <c r="W48" s="244"/>
      <c r="X48" s="244"/>
      <c r="Y48" s="244"/>
      <c r="Z48" s="244"/>
      <c r="AA48" s="244"/>
    </row>
    <row r="49" spans="2:27" ht="15.6" customHeight="1" x14ac:dyDescent="0.25">
      <c r="H49" s="31"/>
      <c r="I49" s="31"/>
      <c r="L49" s="261"/>
      <c r="M49" s="261"/>
      <c r="N49" s="261"/>
      <c r="O49" s="31"/>
      <c r="Q49" s="261"/>
      <c r="R49" s="245"/>
      <c r="S49" s="245"/>
      <c r="T49" s="245"/>
      <c r="U49" s="245"/>
      <c r="V49" s="245"/>
      <c r="W49" s="245"/>
      <c r="X49" s="245"/>
      <c r="Y49" s="245"/>
      <c r="Z49" s="245"/>
      <c r="AA49" s="245"/>
    </row>
    <row r="50" spans="2:27" ht="16.2" customHeight="1" thickBot="1" x14ac:dyDescent="0.3">
      <c r="H50" s="31"/>
      <c r="I50" s="713" t="s">
        <v>171</v>
      </c>
      <c r="L50" s="261"/>
      <c r="M50" s="261"/>
      <c r="N50" s="261"/>
      <c r="Q50" s="261"/>
      <c r="R50" s="245"/>
      <c r="S50" s="245"/>
      <c r="T50" s="245"/>
      <c r="U50" s="245"/>
      <c r="V50" s="245"/>
      <c r="W50" s="245"/>
      <c r="X50" s="245"/>
      <c r="Y50" s="245"/>
      <c r="Z50" s="245"/>
      <c r="AA50" s="245"/>
    </row>
    <row r="51" spans="2:27" ht="18.600000000000001" customHeight="1" thickTop="1" thickBot="1" x14ac:dyDescent="0.3">
      <c r="B51" s="1690" t="s">
        <v>172</v>
      </c>
      <c r="C51" s="1691"/>
      <c r="D51" s="253" t="e">
        <f>+F52/(F48+F35)</f>
        <v>#REF!</v>
      </c>
      <c r="E51" s="318"/>
      <c r="F51" s="765" t="e">
        <f>$L$39*D10*(100-$C$39)/100-I35-F47-($C$42+$C$43)*$L$39</f>
        <v>#REF!</v>
      </c>
      <c r="G51" s="32" t="s">
        <v>117</v>
      </c>
      <c r="H51" s="764" t="e">
        <f>$L$39*C10*(100-$C$39)/100-H35-H47-($C$42+$C$43)*$L$39</f>
        <v>#REF!</v>
      </c>
      <c r="I51" s="83" t="e">
        <f>+F51/D10</f>
        <v>#REF!</v>
      </c>
      <c r="L51" s="33" t="s">
        <v>77</v>
      </c>
      <c r="M51" s="261"/>
      <c r="N51" s="261"/>
      <c r="R51" s="245"/>
      <c r="S51" s="245"/>
      <c r="T51" s="245"/>
      <c r="U51" s="245"/>
      <c r="V51" s="245"/>
      <c r="W51" s="245"/>
      <c r="X51" s="245"/>
      <c r="Y51" s="245"/>
      <c r="Z51" s="245"/>
      <c r="AA51" s="245"/>
    </row>
    <row r="52" spans="2:27" ht="16.2" customHeight="1" thickTop="1" x14ac:dyDescent="0.25">
      <c r="D52" s="37" t="s">
        <v>118</v>
      </c>
      <c r="F52" s="746" t="e">
        <f>+F51/I6</f>
        <v>#REF!</v>
      </c>
      <c r="H52" s="746" t="e">
        <f>+H51/N7</f>
        <v>#REF!</v>
      </c>
      <c r="L52" s="35"/>
      <c r="M52" s="261"/>
      <c r="N52" s="261"/>
      <c r="O52" s="82"/>
      <c r="Q52" s="261"/>
    </row>
    <row r="53" spans="2:27" ht="14.4" customHeight="1" x14ac:dyDescent="0.25">
      <c r="L53" s="261"/>
      <c r="M53" s="261"/>
      <c r="N53" s="261"/>
      <c r="O53" s="711"/>
      <c r="P53" s="711"/>
      <c r="Q53" s="244"/>
      <c r="R53" s="244"/>
      <c r="S53" s="244"/>
      <c r="T53" s="244"/>
      <c r="U53" s="244"/>
      <c r="V53" s="244"/>
      <c r="W53" s="244"/>
      <c r="X53" s="244"/>
      <c r="Y53" s="244"/>
      <c r="Z53" s="244"/>
      <c r="AA53" s="244"/>
    </row>
    <row r="54" spans="2:27" x14ac:dyDescent="0.25">
      <c r="H54" s="752"/>
    </row>
    <row r="55" spans="2:27" x14ac:dyDescent="0.25">
      <c r="H55" s="752"/>
      <c r="M55" s="244"/>
      <c r="N55" s="244"/>
      <c r="O55" s="244"/>
      <c r="P55" s="244"/>
      <c r="Q55" s="244"/>
      <c r="R55" s="244"/>
      <c r="S55" s="244"/>
      <c r="T55" s="244"/>
      <c r="U55" s="244"/>
      <c r="V55" s="244"/>
      <c r="W55" s="244"/>
      <c r="X55" s="244"/>
      <c r="Y55" s="244"/>
      <c r="Z55" s="244"/>
      <c r="AA55" s="244"/>
    </row>
    <row r="56" spans="2:27" x14ac:dyDescent="0.25">
      <c r="H56" s="752"/>
    </row>
    <row r="57" spans="2:27" x14ac:dyDescent="0.25">
      <c r="H57" s="752"/>
      <c r="M57" s="245"/>
      <c r="N57" s="245"/>
      <c r="O57" s="245"/>
      <c r="P57" s="245"/>
      <c r="Q57" s="245"/>
      <c r="R57" s="245"/>
      <c r="S57" s="245"/>
      <c r="T57" s="245"/>
      <c r="U57" s="245"/>
      <c r="V57" s="245"/>
      <c r="W57" s="245"/>
      <c r="X57" s="245"/>
      <c r="Y57" s="245"/>
      <c r="Z57" s="245"/>
      <c r="AA57" s="245"/>
    </row>
    <row r="59" spans="2:27" x14ac:dyDescent="0.25">
      <c r="H59" s="752"/>
      <c r="M59" s="244"/>
      <c r="N59" s="244"/>
      <c r="O59" s="244"/>
      <c r="P59" s="244"/>
      <c r="Q59" s="244"/>
      <c r="R59" s="244"/>
      <c r="S59" s="244"/>
      <c r="T59" s="244"/>
      <c r="U59" s="244"/>
      <c r="V59" s="244"/>
      <c r="W59" s="244"/>
      <c r="X59" s="244"/>
      <c r="Y59" s="244"/>
      <c r="Z59" s="244"/>
      <c r="AA59" s="244"/>
    </row>
  </sheetData>
  <mergeCells count="9">
    <mergeCell ref="B46:F46"/>
    <mergeCell ref="H46:I46"/>
    <mergeCell ref="B51:C51"/>
    <mergeCell ref="B1:J2"/>
    <mergeCell ref="I5:J5"/>
    <mergeCell ref="B7:D7"/>
    <mergeCell ref="C14:D14"/>
    <mergeCell ref="B38:D38"/>
    <mergeCell ref="B41:D41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Hoja12">
    <pageSetUpPr fitToPage="1"/>
  </sheetPr>
  <dimension ref="A1:W34"/>
  <sheetViews>
    <sheetView showGridLines="0" workbookViewId="0">
      <selection activeCell="B9" sqref="B9"/>
    </sheetView>
  </sheetViews>
  <sheetFormatPr baseColWidth="10" defaultColWidth="11.44140625" defaultRowHeight="13.8" x14ac:dyDescent="0.25"/>
  <cols>
    <col min="1" max="1" width="12.88671875" style="869" customWidth="1"/>
    <col min="2" max="3" width="12.5546875" style="869" customWidth="1"/>
    <col min="4" max="4" width="11.44140625" style="869" customWidth="1"/>
    <col min="5" max="5" width="6.33203125" style="869" customWidth="1"/>
    <col min="6" max="6" width="6.44140625" style="869" customWidth="1"/>
    <col min="7" max="7" width="12.44140625" style="869" bestFit="1" customWidth="1"/>
    <col min="8" max="8" width="21.109375" style="869" bestFit="1" customWidth="1"/>
    <col min="9" max="11" width="11.44140625" style="869" customWidth="1"/>
    <col min="12" max="16384" width="11.44140625" style="869"/>
  </cols>
  <sheetData>
    <row r="1" spans="2:23" ht="22.95" customHeight="1" x14ac:dyDescent="0.4">
      <c r="B1" s="290" t="s">
        <v>218</v>
      </c>
    </row>
    <row r="4" spans="2:23" x14ac:dyDescent="0.25">
      <c r="B4" s="869" t="s">
        <v>219</v>
      </c>
      <c r="C4" s="870">
        <v>100</v>
      </c>
      <c r="D4" s="869" t="s">
        <v>220</v>
      </c>
      <c r="G4" s="871">
        <f>IF(F9=0,(C4*D6*D8),(C4*D8*(D6*(1-D12)-D14)))</f>
        <v>456000</v>
      </c>
    </row>
    <row r="6" spans="2:23" x14ac:dyDescent="0.25">
      <c r="C6" s="291" t="s">
        <v>221</v>
      </c>
      <c r="D6" s="872">
        <v>240</v>
      </c>
      <c r="P6" s="873">
        <f>+D6</f>
        <v>240</v>
      </c>
      <c r="Q6" s="873">
        <f>+P6</f>
        <v>240</v>
      </c>
    </row>
    <row r="7" spans="2:23" x14ac:dyDescent="0.25">
      <c r="I7" s="289"/>
      <c r="J7" s="289"/>
      <c r="K7" s="289"/>
      <c r="L7" s="289"/>
      <c r="M7" s="289"/>
      <c r="N7" s="289"/>
      <c r="P7" s="873">
        <f>-D12*P6</f>
        <v>-6.72</v>
      </c>
      <c r="Q7" s="873">
        <f>-D13*Q6</f>
        <v>-33.6</v>
      </c>
    </row>
    <row r="8" spans="2:23" ht="15.6" customHeight="1" x14ac:dyDescent="0.3">
      <c r="C8" s="874" t="s">
        <v>222</v>
      </c>
      <c r="D8" s="875">
        <f>+D9+C9</f>
        <v>19</v>
      </c>
      <c r="E8" s="876" t="s">
        <v>223</v>
      </c>
      <c r="F8" s="877" t="s">
        <v>224</v>
      </c>
      <c r="G8" s="869" t="s">
        <v>225</v>
      </c>
      <c r="H8" s="878" t="str">
        <f>IF(W12=1,"bien","MAL!!!! Lleno o c/ dctos.?!?!!?")</f>
        <v>bien</v>
      </c>
      <c r="P8" s="873">
        <f>-D14</f>
        <v>-23</v>
      </c>
      <c r="Q8" s="873">
        <f>+P8</f>
        <v>-23</v>
      </c>
      <c r="W8" s="869">
        <f>COUNTA(F8)</f>
        <v>1</v>
      </c>
    </row>
    <row r="9" spans="2:23" x14ac:dyDescent="0.25">
      <c r="C9" s="879">
        <v>15</v>
      </c>
      <c r="D9" s="879">
        <v>4</v>
      </c>
      <c r="F9" s="877"/>
      <c r="G9" s="869" t="s">
        <v>226</v>
      </c>
      <c r="P9" s="880">
        <f>SUM(P6:P8)</f>
        <v>210.28</v>
      </c>
      <c r="Q9" s="880">
        <f>SUM(Q6:Q8)</f>
        <v>183.4</v>
      </c>
      <c r="W9" s="869">
        <f>COUNTA(F9)</f>
        <v>0</v>
      </c>
    </row>
    <row r="10" spans="2:23" x14ac:dyDescent="0.25">
      <c r="C10" s="876" t="s">
        <v>227</v>
      </c>
      <c r="D10" s="876" t="s">
        <v>228</v>
      </c>
      <c r="P10" s="1760">
        <f>(P9*C9+Q9*D9)/D8</f>
        <v>204.62105263157892</v>
      </c>
      <c r="Q10" s="1761"/>
    </row>
    <row r="12" spans="2:23" ht="15" customHeight="1" x14ac:dyDescent="0.25">
      <c r="C12" s="291" t="s">
        <v>229</v>
      </c>
      <c r="D12" s="298">
        <v>2.8000000000000001E-2</v>
      </c>
      <c r="P12" s="292">
        <f>(C9*D12+D9*D13)/D8</f>
        <v>5.1578947368421051E-2</v>
      </c>
      <c r="W12" s="881">
        <f>SUM(W8:W9)</f>
        <v>1</v>
      </c>
    </row>
    <row r="13" spans="2:23" ht="15" customHeight="1" x14ac:dyDescent="0.25">
      <c r="C13" s="291" t="s">
        <v>230</v>
      </c>
      <c r="D13" s="298">
        <v>0.14000000000000001</v>
      </c>
      <c r="W13" s="881"/>
    </row>
    <row r="14" spans="2:23" x14ac:dyDescent="0.25">
      <c r="C14" s="291" t="s">
        <v>231</v>
      </c>
      <c r="D14" s="879">
        <v>23</v>
      </c>
    </row>
    <row r="15" spans="2:23" x14ac:dyDescent="0.25">
      <c r="B15" s="882"/>
      <c r="C15" s="882"/>
      <c r="D15" s="882"/>
      <c r="E15" s="882"/>
      <c r="F15" s="882"/>
      <c r="G15" s="882"/>
    </row>
    <row r="16" spans="2:23" ht="14.4" customHeight="1" x14ac:dyDescent="0.3">
      <c r="C16" s="883" t="s">
        <v>232</v>
      </c>
      <c r="D16" s="869">
        <f>IF(F9=0,((D14+D12*D6)*C9+(D14+D13*D6)*D9)/(P10),0)</f>
        <v>3.2850969700087456</v>
      </c>
      <c r="E16" s="869" t="s">
        <v>223</v>
      </c>
      <c r="F16" s="296">
        <f>+D17/D8-1</f>
        <v>0.17289984052677609</v>
      </c>
      <c r="G16" s="296" t="s">
        <v>233</v>
      </c>
      <c r="H16" s="884" t="s">
        <v>234</v>
      </c>
    </row>
    <row r="17" spans="1:8" ht="15" customHeight="1" x14ac:dyDescent="0.25">
      <c r="B17" s="882"/>
      <c r="C17" s="885" t="s">
        <v>235</v>
      </c>
      <c r="D17" s="886">
        <f>+D16+D8</f>
        <v>22.285096970008745</v>
      </c>
      <c r="E17" s="886" t="s">
        <v>223</v>
      </c>
      <c r="F17" s="882"/>
      <c r="G17" s="882"/>
    </row>
    <row r="18" spans="1:8" x14ac:dyDescent="0.25">
      <c r="C18" s="883" t="s">
        <v>236</v>
      </c>
      <c r="D18" s="299">
        <v>0.12</v>
      </c>
    </row>
    <row r="19" spans="1:8" ht="14.4" customHeight="1" x14ac:dyDescent="0.3">
      <c r="C19" s="883" t="s">
        <v>232</v>
      </c>
      <c r="D19" s="869">
        <f>+D18*D17</f>
        <v>2.6742116364010493</v>
      </c>
      <c r="E19" s="869" t="s">
        <v>223</v>
      </c>
      <c r="F19" s="296">
        <f>+D20/D17-1</f>
        <v>0.12000000000000011</v>
      </c>
      <c r="G19" s="296" t="s">
        <v>233</v>
      </c>
      <c r="H19" s="884" t="s">
        <v>237</v>
      </c>
    </row>
    <row r="20" spans="1:8" ht="15" customHeight="1" x14ac:dyDescent="0.25">
      <c r="B20" s="882"/>
      <c r="C20" s="885" t="s">
        <v>235</v>
      </c>
      <c r="D20" s="886">
        <f>+D19+D17</f>
        <v>24.959308606409795</v>
      </c>
      <c r="E20" s="886" t="s">
        <v>223</v>
      </c>
      <c r="F20" s="882"/>
      <c r="G20" s="882"/>
    </row>
    <row r="21" spans="1:8" x14ac:dyDescent="0.25">
      <c r="C21" s="291" t="s">
        <v>238</v>
      </c>
      <c r="D21" s="872">
        <v>280</v>
      </c>
    </row>
    <row r="22" spans="1:8" x14ac:dyDescent="0.25">
      <c r="C22" s="291" t="s">
        <v>239</v>
      </c>
      <c r="D22" s="872">
        <v>8.5500000000000007</v>
      </c>
      <c r="H22" s="884" t="s">
        <v>240</v>
      </c>
    </row>
    <row r="23" spans="1:8" ht="14.4" customHeight="1" x14ac:dyDescent="0.3">
      <c r="B23" s="882"/>
      <c r="C23" s="293" t="s">
        <v>241</v>
      </c>
      <c r="D23" s="886">
        <f>+D21*D22</f>
        <v>2394</v>
      </c>
      <c r="E23" s="882"/>
      <c r="F23" s="294">
        <f>+D6/(D23/10)-1</f>
        <v>2.5062656641603454E-3</v>
      </c>
      <c r="G23" s="294" t="s">
        <v>233</v>
      </c>
    </row>
    <row r="24" spans="1:8" ht="14.4" customHeight="1" x14ac:dyDescent="0.3">
      <c r="A24" s="887">
        <f>+D6*10/'Alquiler fciado'!D22</f>
        <v>280.70175438596488</v>
      </c>
      <c r="C24" s="295"/>
      <c r="D24" s="881"/>
      <c r="F24" s="296"/>
      <c r="G24" s="296"/>
    </row>
    <row r="25" spans="1:8" ht="14.4" customHeight="1" thickBot="1" x14ac:dyDescent="0.3"/>
    <row r="26" spans="1:8" x14ac:dyDescent="0.25">
      <c r="B26" s="888"/>
      <c r="C26" s="889"/>
      <c r="D26" s="889"/>
      <c r="E26" s="889"/>
      <c r="F26" s="889"/>
      <c r="G26" s="890"/>
    </row>
    <row r="27" spans="1:8" ht="15.6" customHeight="1" x14ac:dyDescent="0.3">
      <c r="B27" s="891"/>
      <c r="C27" s="892" t="s">
        <v>242</v>
      </c>
      <c r="D27" s="893">
        <f>+D8</f>
        <v>19</v>
      </c>
      <c r="E27" s="894" t="s">
        <v>243</v>
      </c>
      <c r="F27" s="894"/>
      <c r="G27" s="895"/>
    </row>
    <row r="28" spans="1:8" ht="15.6" customHeight="1" x14ac:dyDescent="0.3">
      <c r="B28" s="891"/>
      <c r="C28" s="892" t="s">
        <v>244</v>
      </c>
      <c r="D28" s="896">
        <f>(G4/(D23/10*(1-P12)-D14)*(1+D18))/C4</f>
        <v>25.028914198341603</v>
      </c>
      <c r="E28" s="897" t="s">
        <v>243</v>
      </c>
      <c r="F28" s="894"/>
      <c r="G28" s="895"/>
    </row>
    <row r="29" spans="1:8" ht="15.6" customHeight="1" x14ac:dyDescent="0.3">
      <c r="B29" s="891"/>
      <c r="C29" s="898" t="s">
        <v>245</v>
      </c>
      <c r="D29" s="297">
        <f>+D28/D27-1</f>
        <v>0.31731127359692657</v>
      </c>
      <c r="E29" s="894"/>
      <c r="F29" s="894"/>
      <c r="G29" s="895"/>
    </row>
    <row r="30" spans="1:8" ht="14.4" customHeight="1" thickBot="1" x14ac:dyDescent="0.3">
      <c r="B30" s="899"/>
      <c r="C30" s="900"/>
      <c r="D30" s="900"/>
      <c r="E30" s="900"/>
      <c r="F30" s="900"/>
      <c r="G30" s="901"/>
    </row>
    <row r="31" spans="1:8" x14ac:dyDescent="0.25">
      <c r="D31" s="870"/>
    </row>
    <row r="33" spans="2:2" x14ac:dyDescent="0.25">
      <c r="B33" s="902" t="s">
        <v>246</v>
      </c>
    </row>
    <row r="34" spans="2:2" x14ac:dyDescent="0.25">
      <c r="B34" s="902" t="s">
        <v>247</v>
      </c>
    </row>
  </sheetData>
  <sheetProtection password="CE1C" sheet="1" objects="1" scenarios="1"/>
  <mergeCells count="1">
    <mergeCell ref="P10:Q10"/>
  </mergeCells>
  <conditionalFormatting sqref="H8">
    <cfRule type="cellIs" dxfId="0" priority="1" stopIfTrue="1" operator="equal">
      <formula>"MAL!!!! Lleno o c/ dctos.?!?!!?"</formula>
    </cfRule>
  </conditionalFormatting>
  <printOptions horizontalCentered="1"/>
  <pageMargins left="0.70866141732283472" right="0.70866141732283472" top="0.94488188976377963" bottom="0.74803149606299213" header="0.31496062992125978" footer="0.31496062992125978"/>
  <pageSetup paperSize="9" orientation="portrait" horizontalDpi="360" verticalDpi="36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Hoja13"/>
  <dimension ref="B1:J33"/>
  <sheetViews>
    <sheetView zoomScale="85" zoomScaleNormal="85" workbookViewId="0"/>
  </sheetViews>
  <sheetFormatPr baseColWidth="10" defaultColWidth="11.44140625" defaultRowHeight="13.8" x14ac:dyDescent="0.25"/>
  <cols>
    <col min="1" max="1" width="11.44140625" style="270" customWidth="1"/>
    <col min="2" max="2" width="7.44140625" style="270" bestFit="1" customWidth="1"/>
    <col min="3" max="3" width="9.44140625" style="270" bestFit="1" customWidth="1"/>
    <col min="4" max="4" width="10.5546875" style="270" bestFit="1" customWidth="1"/>
    <col min="5" max="5" width="10.33203125" style="270" bestFit="1" customWidth="1"/>
    <col min="6" max="6" width="8.5546875" style="270" bestFit="1" customWidth="1"/>
    <col min="7" max="7" width="9" style="273" bestFit="1" customWidth="1"/>
    <col min="8" max="8" width="9" style="270" bestFit="1" customWidth="1"/>
    <col min="9" max="9" width="11.6640625" style="270" bestFit="1" customWidth="1"/>
    <col min="10" max="10" width="12.5546875" style="270" bestFit="1" customWidth="1"/>
    <col min="11" max="13" width="11.44140625" style="270" customWidth="1"/>
    <col min="14" max="16384" width="11.44140625" style="270"/>
  </cols>
  <sheetData>
    <row r="1" spans="2:10" x14ac:dyDescent="0.25">
      <c r="C1" s="269" t="s">
        <v>135</v>
      </c>
      <c r="D1" s="269" t="s">
        <v>5</v>
      </c>
      <c r="E1" s="269" t="s">
        <v>248</v>
      </c>
      <c r="F1" s="269" t="s">
        <v>249</v>
      </c>
      <c r="G1" s="274" t="s">
        <v>250</v>
      </c>
      <c r="H1" s="283" t="s">
        <v>250</v>
      </c>
      <c r="I1" s="276" t="s">
        <v>250</v>
      </c>
      <c r="J1" s="286" t="s">
        <v>250</v>
      </c>
    </row>
    <row r="2" spans="2:10" x14ac:dyDescent="0.25">
      <c r="B2" s="269" t="s">
        <v>251</v>
      </c>
      <c r="C2" s="269" t="s">
        <v>252</v>
      </c>
      <c r="D2" s="269" t="s">
        <v>253</v>
      </c>
      <c r="E2" s="269" t="s">
        <v>254</v>
      </c>
      <c r="F2" s="269" t="s">
        <v>255</v>
      </c>
      <c r="G2" s="274" t="s">
        <v>256</v>
      </c>
      <c r="H2" s="283" t="s">
        <v>257</v>
      </c>
      <c r="I2" s="276" t="s">
        <v>258</v>
      </c>
      <c r="J2" s="286" t="s">
        <v>259</v>
      </c>
    </row>
    <row r="3" spans="2:10" ht="15" customHeight="1" x14ac:dyDescent="0.25">
      <c r="B3" s="271">
        <v>20</v>
      </c>
      <c r="C3" s="271">
        <v>12</v>
      </c>
      <c r="D3" s="271">
        <v>12</v>
      </c>
      <c r="E3" s="272">
        <v>0.5</v>
      </c>
      <c r="F3" s="271">
        <f t="shared" ref="F3:F33" si="0">+D3+C3</f>
        <v>24</v>
      </c>
      <c r="G3" s="275">
        <v>18</v>
      </c>
      <c r="H3" s="284">
        <f t="shared" ref="H3:H33" si="1">IF(B3&gt;F3,((B3-F3)*E3+C3),C3)</f>
        <v>12</v>
      </c>
      <c r="I3" s="277">
        <f t="shared" ref="I3:I33" si="2">+B3-D3-G3</f>
        <v>-10</v>
      </c>
      <c r="J3" s="287">
        <f t="shared" ref="J3:J33" si="3">+B3-D3-H3</f>
        <v>-4</v>
      </c>
    </row>
    <row r="4" spans="2:10" ht="15" customHeight="1" x14ac:dyDescent="0.25">
      <c r="B4" s="271">
        <f t="shared" ref="B4:B33" si="4">+B3+1</f>
        <v>21</v>
      </c>
      <c r="C4" s="271">
        <f t="shared" ref="C4:C33" si="5">+C3</f>
        <v>12</v>
      </c>
      <c r="D4" s="271">
        <f t="shared" ref="D4:D33" si="6">+D3</f>
        <v>12</v>
      </c>
      <c r="E4" s="272">
        <f t="shared" ref="E4:E33" si="7">+E3</f>
        <v>0.5</v>
      </c>
      <c r="F4" s="271">
        <f t="shared" si="0"/>
        <v>24</v>
      </c>
      <c r="G4" s="275">
        <v>18</v>
      </c>
      <c r="H4" s="284">
        <f t="shared" si="1"/>
        <v>12</v>
      </c>
      <c r="I4" s="277">
        <f t="shared" si="2"/>
        <v>-9</v>
      </c>
      <c r="J4" s="287">
        <f t="shared" si="3"/>
        <v>-3</v>
      </c>
    </row>
    <row r="5" spans="2:10" ht="15" customHeight="1" x14ac:dyDescent="0.25">
      <c r="B5" s="271">
        <f t="shared" si="4"/>
        <v>22</v>
      </c>
      <c r="C5" s="271">
        <f t="shared" si="5"/>
        <v>12</v>
      </c>
      <c r="D5" s="271">
        <f t="shared" si="6"/>
        <v>12</v>
      </c>
      <c r="E5" s="272">
        <f t="shared" si="7"/>
        <v>0.5</v>
      </c>
      <c r="F5" s="271">
        <f t="shared" si="0"/>
        <v>24</v>
      </c>
      <c r="G5" s="275">
        <v>18</v>
      </c>
      <c r="H5" s="284">
        <f t="shared" si="1"/>
        <v>12</v>
      </c>
      <c r="I5" s="277">
        <f t="shared" si="2"/>
        <v>-8</v>
      </c>
      <c r="J5" s="287">
        <f t="shared" si="3"/>
        <v>-2</v>
      </c>
    </row>
    <row r="6" spans="2:10" ht="15" customHeight="1" x14ac:dyDescent="0.25">
      <c r="B6" s="271">
        <f t="shared" si="4"/>
        <v>23</v>
      </c>
      <c r="C6" s="271">
        <f t="shared" si="5"/>
        <v>12</v>
      </c>
      <c r="D6" s="271">
        <f t="shared" si="6"/>
        <v>12</v>
      </c>
      <c r="E6" s="272">
        <f t="shared" si="7"/>
        <v>0.5</v>
      </c>
      <c r="F6" s="271">
        <f t="shared" si="0"/>
        <v>24</v>
      </c>
      <c r="G6" s="275">
        <v>18</v>
      </c>
      <c r="H6" s="284">
        <f t="shared" si="1"/>
        <v>12</v>
      </c>
      <c r="I6" s="277">
        <f t="shared" si="2"/>
        <v>-7</v>
      </c>
      <c r="J6" s="287">
        <f t="shared" si="3"/>
        <v>-1</v>
      </c>
    </row>
    <row r="7" spans="2:10" ht="15" customHeight="1" x14ac:dyDescent="0.25">
      <c r="B7" s="271">
        <f t="shared" si="4"/>
        <v>24</v>
      </c>
      <c r="C7" s="271">
        <f t="shared" si="5"/>
        <v>12</v>
      </c>
      <c r="D7" s="271">
        <f t="shared" si="6"/>
        <v>12</v>
      </c>
      <c r="E7" s="272">
        <f t="shared" si="7"/>
        <v>0.5</v>
      </c>
      <c r="F7" s="271">
        <f t="shared" si="0"/>
        <v>24</v>
      </c>
      <c r="G7" s="275">
        <v>18</v>
      </c>
      <c r="H7" s="284">
        <f t="shared" si="1"/>
        <v>12</v>
      </c>
      <c r="I7" s="277">
        <f t="shared" si="2"/>
        <v>-6</v>
      </c>
      <c r="J7" s="287">
        <f t="shared" si="3"/>
        <v>0</v>
      </c>
    </row>
    <row r="8" spans="2:10" ht="15" customHeight="1" x14ac:dyDescent="0.25">
      <c r="B8" s="271">
        <f t="shared" si="4"/>
        <v>25</v>
      </c>
      <c r="C8" s="271">
        <f t="shared" si="5"/>
        <v>12</v>
      </c>
      <c r="D8" s="271">
        <f t="shared" si="6"/>
        <v>12</v>
      </c>
      <c r="E8" s="272">
        <f t="shared" si="7"/>
        <v>0.5</v>
      </c>
      <c r="F8" s="271">
        <f t="shared" si="0"/>
        <v>24</v>
      </c>
      <c r="G8" s="275">
        <v>18</v>
      </c>
      <c r="H8" s="284">
        <f t="shared" si="1"/>
        <v>12.5</v>
      </c>
      <c r="I8" s="277">
        <f t="shared" si="2"/>
        <v>-5</v>
      </c>
      <c r="J8" s="287">
        <f t="shared" si="3"/>
        <v>0.5</v>
      </c>
    </row>
    <row r="9" spans="2:10" ht="15" customHeight="1" x14ac:dyDescent="0.25">
      <c r="B9" s="271">
        <f t="shared" si="4"/>
        <v>26</v>
      </c>
      <c r="C9" s="271">
        <f t="shared" si="5"/>
        <v>12</v>
      </c>
      <c r="D9" s="271">
        <f t="shared" si="6"/>
        <v>12</v>
      </c>
      <c r="E9" s="272">
        <f t="shared" si="7"/>
        <v>0.5</v>
      </c>
      <c r="F9" s="271">
        <f t="shared" si="0"/>
        <v>24</v>
      </c>
      <c r="G9" s="275">
        <v>18</v>
      </c>
      <c r="H9" s="284">
        <f t="shared" si="1"/>
        <v>13</v>
      </c>
      <c r="I9" s="277">
        <f t="shared" si="2"/>
        <v>-4</v>
      </c>
      <c r="J9" s="287">
        <f t="shared" si="3"/>
        <v>1</v>
      </c>
    </row>
    <row r="10" spans="2:10" ht="15" customHeight="1" x14ac:dyDescent="0.25">
      <c r="B10" s="271">
        <f t="shared" si="4"/>
        <v>27</v>
      </c>
      <c r="C10" s="271">
        <f t="shared" si="5"/>
        <v>12</v>
      </c>
      <c r="D10" s="271">
        <f t="shared" si="6"/>
        <v>12</v>
      </c>
      <c r="E10" s="272">
        <f t="shared" si="7"/>
        <v>0.5</v>
      </c>
      <c r="F10" s="271">
        <f t="shared" si="0"/>
        <v>24</v>
      </c>
      <c r="G10" s="275">
        <v>18</v>
      </c>
      <c r="H10" s="284">
        <f t="shared" si="1"/>
        <v>13.5</v>
      </c>
      <c r="I10" s="277">
        <f t="shared" si="2"/>
        <v>-3</v>
      </c>
      <c r="J10" s="287">
        <f t="shared" si="3"/>
        <v>1.5</v>
      </c>
    </row>
    <row r="11" spans="2:10" ht="15" customHeight="1" x14ac:dyDescent="0.25">
      <c r="B11" s="271">
        <f t="shared" si="4"/>
        <v>28</v>
      </c>
      <c r="C11" s="271">
        <f t="shared" si="5"/>
        <v>12</v>
      </c>
      <c r="D11" s="271">
        <f t="shared" si="6"/>
        <v>12</v>
      </c>
      <c r="E11" s="272">
        <f t="shared" si="7"/>
        <v>0.5</v>
      </c>
      <c r="F11" s="271">
        <f t="shared" si="0"/>
        <v>24</v>
      </c>
      <c r="G11" s="275">
        <v>18</v>
      </c>
      <c r="H11" s="284">
        <f t="shared" si="1"/>
        <v>14</v>
      </c>
      <c r="I11" s="277">
        <f t="shared" si="2"/>
        <v>-2</v>
      </c>
      <c r="J11" s="287">
        <f t="shared" si="3"/>
        <v>2</v>
      </c>
    </row>
    <row r="12" spans="2:10" ht="15" customHeight="1" x14ac:dyDescent="0.25">
      <c r="B12" s="271">
        <f t="shared" si="4"/>
        <v>29</v>
      </c>
      <c r="C12" s="271">
        <f t="shared" si="5"/>
        <v>12</v>
      </c>
      <c r="D12" s="271">
        <f t="shared" si="6"/>
        <v>12</v>
      </c>
      <c r="E12" s="272">
        <f t="shared" si="7"/>
        <v>0.5</v>
      </c>
      <c r="F12" s="271">
        <f t="shared" si="0"/>
        <v>24</v>
      </c>
      <c r="G12" s="275">
        <v>18</v>
      </c>
      <c r="H12" s="284">
        <f t="shared" si="1"/>
        <v>14.5</v>
      </c>
      <c r="I12" s="277">
        <f t="shared" si="2"/>
        <v>-1</v>
      </c>
      <c r="J12" s="287">
        <f t="shared" si="3"/>
        <v>2.5</v>
      </c>
    </row>
    <row r="13" spans="2:10" ht="15" customHeight="1" x14ac:dyDescent="0.25">
      <c r="B13" s="271">
        <f t="shared" si="4"/>
        <v>30</v>
      </c>
      <c r="C13" s="271">
        <f t="shared" si="5"/>
        <v>12</v>
      </c>
      <c r="D13" s="271">
        <f t="shared" si="6"/>
        <v>12</v>
      </c>
      <c r="E13" s="272">
        <f t="shared" si="7"/>
        <v>0.5</v>
      </c>
      <c r="F13" s="271">
        <f t="shared" si="0"/>
        <v>24</v>
      </c>
      <c r="G13" s="275">
        <v>18</v>
      </c>
      <c r="H13" s="284">
        <f t="shared" si="1"/>
        <v>15</v>
      </c>
      <c r="I13" s="277">
        <f t="shared" si="2"/>
        <v>0</v>
      </c>
      <c r="J13" s="287">
        <f t="shared" si="3"/>
        <v>3</v>
      </c>
    </row>
    <row r="14" spans="2:10" ht="15" customHeight="1" x14ac:dyDescent="0.25">
      <c r="B14" s="271">
        <f t="shared" si="4"/>
        <v>31</v>
      </c>
      <c r="C14" s="271">
        <f t="shared" si="5"/>
        <v>12</v>
      </c>
      <c r="D14" s="271">
        <f t="shared" si="6"/>
        <v>12</v>
      </c>
      <c r="E14" s="272">
        <f t="shared" si="7"/>
        <v>0.5</v>
      </c>
      <c r="F14" s="271">
        <f t="shared" si="0"/>
        <v>24</v>
      </c>
      <c r="G14" s="275">
        <v>18</v>
      </c>
      <c r="H14" s="284">
        <f t="shared" si="1"/>
        <v>15.5</v>
      </c>
      <c r="I14" s="277">
        <f t="shared" si="2"/>
        <v>1</v>
      </c>
      <c r="J14" s="287">
        <f t="shared" si="3"/>
        <v>3.5</v>
      </c>
    </row>
    <row r="15" spans="2:10" ht="15" customHeight="1" x14ac:dyDescent="0.25">
      <c r="B15" s="271">
        <f t="shared" si="4"/>
        <v>32</v>
      </c>
      <c r="C15" s="271">
        <f t="shared" si="5"/>
        <v>12</v>
      </c>
      <c r="D15" s="271">
        <f t="shared" si="6"/>
        <v>12</v>
      </c>
      <c r="E15" s="272">
        <f t="shared" si="7"/>
        <v>0.5</v>
      </c>
      <c r="F15" s="271">
        <f t="shared" si="0"/>
        <v>24</v>
      </c>
      <c r="G15" s="275">
        <v>18</v>
      </c>
      <c r="H15" s="284">
        <f t="shared" si="1"/>
        <v>16</v>
      </c>
      <c r="I15" s="277">
        <f t="shared" si="2"/>
        <v>2</v>
      </c>
      <c r="J15" s="287">
        <f t="shared" si="3"/>
        <v>4</v>
      </c>
    </row>
    <row r="16" spans="2:10" ht="15" customHeight="1" x14ac:dyDescent="0.25">
      <c r="B16" s="271">
        <f t="shared" si="4"/>
        <v>33</v>
      </c>
      <c r="C16" s="271">
        <f t="shared" si="5"/>
        <v>12</v>
      </c>
      <c r="D16" s="271">
        <f t="shared" si="6"/>
        <v>12</v>
      </c>
      <c r="E16" s="272">
        <f t="shared" si="7"/>
        <v>0.5</v>
      </c>
      <c r="F16" s="271">
        <f t="shared" si="0"/>
        <v>24</v>
      </c>
      <c r="G16" s="275">
        <v>18</v>
      </c>
      <c r="H16" s="284">
        <f t="shared" si="1"/>
        <v>16.5</v>
      </c>
      <c r="I16" s="277">
        <f t="shared" si="2"/>
        <v>3</v>
      </c>
      <c r="J16" s="287">
        <f t="shared" si="3"/>
        <v>4.5</v>
      </c>
    </row>
    <row r="17" spans="2:10" ht="15" customHeight="1" x14ac:dyDescent="0.25">
      <c r="B17" s="278">
        <f t="shared" si="4"/>
        <v>34</v>
      </c>
      <c r="C17" s="279">
        <f t="shared" si="5"/>
        <v>12</v>
      </c>
      <c r="D17" s="279">
        <f t="shared" si="6"/>
        <v>12</v>
      </c>
      <c r="E17" s="280">
        <f t="shared" si="7"/>
        <v>0.5</v>
      </c>
      <c r="F17" s="279">
        <f t="shared" si="0"/>
        <v>24</v>
      </c>
      <c r="G17" s="281">
        <v>18</v>
      </c>
      <c r="H17" s="285">
        <f t="shared" si="1"/>
        <v>17</v>
      </c>
      <c r="I17" s="282">
        <f t="shared" si="2"/>
        <v>4</v>
      </c>
      <c r="J17" s="288">
        <f t="shared" si="3"/>
        <v>5</v>
      </c>
    </row>
    <row r="18" spans="2:10" ht="15" customHeight="1" x14ac:dyDescent="0.25">
      <c r="B18" s="271">
        <f t="shared" si="4"/>
        <v>35</v>
      </c>
      <c r="C18" s="271">
        <f t="shared" si="5"/>
        <v>12</v>
      </c>
      <c r="D18" s="271">
        <f t="shared" si="6"/>
        <v>12</v>
      </c>
      <c r="E18" s="272">
        <f t="shared" si="7"/>
        <v>0.5</v>
      </c>
      <c r="F18" s="271">
        <f t="shared" si="0"/>
        <v>24</v>
      </c>
      <c r="G18" s="275">
        <v>18</v>
      </c>
      <c r="H18" s="284">
        <f t="shared" si="1"/>
        <v>17.5</v>
      </c>
      <c r="I18" s="277">
        <f t="shared" si="2"/>
        <v>5</v>
      </c>
      <c r="J18" s="287">
        <f t="shared" si="3"/>
        <v>5.5</v>
      </c>
    </row>
    <row r="19" spans="2:10" ht="15" customHeight="1" x14ac:dyDescent="0.25">
      <c r="B19" s="271">
        <f t="shared" si="4"/>
        <v>36</v>
      </c>
      <c r="C19" s="271">
        <f t="shared" si="5"/>
        <v>12</v>
      </c>
      <c r="D19" s="271">
        <f t="shared" si="6"/>
        <v>12</v>
      </c>
      <c r="E19" s="272">
        <f t="shared" si="7"/>
        <v>0.5</v>
      </c>
      <c r="F19" s="271">
        <f t="shared" si="0"/>
        <v>24</v>
      </c>
      <c r="G19" s="275">
        <v>18</v>
      </c>
      <c r="H19" s="284">
        <f t="shared" si="1"/>
        <v>18</v>
      </c>
      <c r="I19" s="277">
        <f t="shared" si="2"/>
        <v>6</v>
      </c>
      <c r="J19" s="287">
        <f t="shared" si="3"/>
        <v>6</v>
      </c>
    </row>
    <row r="20" spans="2:10" ht="15" customHeight="1" x14ac:dyDescent="0.25">
      <c r="B20" s="271">
        <f t="shared" si="4"/>
        <v>37</v>
      </c>
      <c r="C20" s="271">
        <f t="shared" si="5"/>
        <v>12</v>
      </c>
      <c r="D20" s="271">
        <f t="shared" si="6"/>
        <v>12</v>
      </c>
      <c r="E20" s="272">
        <f t="shared" si="7"/>
        <v>0.5</v>
      </c>
      <c r="F20" s="271">
        <f t="shared" si="0"/>
        <v>24</v>
      </c>
      <c r="G20" s="275">
        <v>18</v>
      </c>
      <c r="H20" s="284">
        <f t="shared" si="1"/>
        <v>18.5</v>
      </c>
      <c r="I20" s="277">
        <f t="shared" si="2"/>
        <v>7</v>
      </c>
      <c r="J20" s="287">
        <f t="shared" si="3"/>
        <v>6.5</v>
      </c>
    </row>
    <row r="21" spans="2:10" ht="15" customHeight="1" x14ac:dyDescent="0.25">
      <c r="B21" s="271">
        <f t="shared" si="4"/>
        <v>38</v>
      </c>
      <c r="C21" s="271">
        <f t="shared" si="5"/>
        <v>12</v>
      </c>
      <c r="D21" s="271">
        <f t="shared" si="6"/>
        <v>12</v>
      </c>
      <c r="E21" s="272">
        <f t="shared" si="7"/>
        <v>0.5</v>
      </c>
      <c r="F21" s="271">
        <f t="shared" si="0"/>
        <v>24</v>
      </c>
      <c r="G21" s="275">
        <v>18</v>
      </c>
      <c r="H21" s="284">
        <f t="shared" si="1"/>
        <v>19</v>
      </c>
      <c r="I21" s="277">
        <f t="shared" si="2"/>
        <v>8</v>
      </c>
      <c r="J21" s="287">
        <f t="shared" si="3"/>
        <v>7</v>
      </c>
    </row>
    <row r="22" spans="2:10" ht="15" customHeight="1" x14ac:dyDescent="0.25">
      <c r="B22" s="271">
        <f t="shared" si="4"/>
        <v>39</v>
      </c>
      <c r="C22" s="271">
        <f t="shared" si="5"/>
        <v>12</v>
      </c>
      <c r="D22" s="271">
        <f t="shared" si="6"/>
        <v>12</v>
      </c>
      <c r="E22" s="272">
        <f t="shared" si="7"/>
        <v>0.5</v>
      </c>
      <c r="F22" s="271">
        <f t="shared" si="0"/>
        <v>24</v>
      </c>
      <c r="G22" s="275">
        <v>18</v>
      </c>
      <c r="H22" s="284">
        <f t="shared" si="1"/>
        <v>19.5</v>
      </c>
      <c r="I22" s="277">
        <f t="shared" si="2"/>
        <v>9</v>
      </c>
      <c r="J22" s="287">
        <f t="shared" si="3"/>
        <v>7.5</v>
      </c>
    </row>
    <row r="23" spans="2:10" ht="15" customHeight="1" x14ac:dyDescent="0.25">
      <c r="B23" s="271">
        <f t="shared" si="4"/>
        <v>40</v>
      </c>
      <c r="C23" s="271">
        <f t="shared" si="5"/>
        <v>12</v>
      </c>
      <c r="D23" s="271">
        <f t="shared" si="6"/>
        <v>12</v>
      </c>
      <c r="E23" s="272">
        <f t="shared" si="7"/>
        <v>0.5</v>
      </c>
      <c r="F23" s="271">
        <f t="shared" si="0"/>
        <v>24</v>
      </c>
      <c r="G23" s="275">
        <v>18</v>
      </c>
      <c r="H23" s="284">
        <f t="shared" si="1"/>
        <v>20</v>
      </c>
      <c r="I23" s="277">
        <f t="shared" si="2"/>
        <v>10</v>
      </c>
      <c r="J23" s="287">
        <f t="shared" si="3"/>
        <v>8</v>
      </c>
    </row>
    <row r="24" spans="2:10" ht="15" customHeight="1" x14ac:dyDescent="0.25">
      <c r="B24" s="271">
        <f t="shared" si="4"/>
        <v>41</v>
      </c>
      <c r="C24" s="271">
        <f t="shared" si="5"/>
        <v>12</v>
      </c>
      <c r="D24" s="271">
        <f t="shared" si="6"/>
        <v>12</v>
      </c>
      <c r="E24" s="272">
        <f t="shared" si="7"/>
        <v>0.5</v>
      </c>
      <c r="F24" s="271">
        <f t="shared" si="0"/>
        <v>24</v>
      </c>
      <c r="G24" s="275">
        <v>18</v>
      </c>
      <c r="H24" s="284">
        <f t="shared" si="1"/>
        <v>20.5</v>
      </c>
      <c r="I24" s="277">
        <f t="shared" si="2"/>
        <v>11</v>
      </c>
      <c r="J24" s="287">
        <f t="shared" si="3"/>
        <v>8.5</v>
      </c>
    </row>
    <row r="25" spans="2:10" ht="15" customHeight="1" x14ac:dyDescent="0.25">
      <c r="B25" s="271">
        <f t="shared" si="4"/>
        <v>42</v>
      </c>
      <c r="C25" s="271">
        <f t="shared" si="5"/>
        <v>12</v>
      </c>
      <c r="D25" s="271">
        <f t="shared" si="6"/>
        <v>12</v>
      </c>
      <c r="E25" s="272">
        <f t="shared" si="7"/>
        <v>0.5</v>
      </c>
      <c r="F25" s="271">
        <f t="shared" si="0"/>
        <v>24</v>
      </c>
      <c r="G25" s="275">
        <v>18</v>
      </c>
      <c r="H25" s="284">
        <f t="shared" si="1"/>
        <v>21</v>
      </c>
      <c r="I25" s="277">
        <f t="shared" si="2"/>
        <v>12</v>
      </c>
      <c r="J25" s="287">
        <f t="shared" si="3"/>
        <v>9</v>
      </c>
    </row>
    <row r="26" spans="2:10" ht="15" customHeight="1" x14ac:dyDescent="0.25">
      <c r="B26" s="271">
        <f t="shared" si="4"/>
        <v>43</v>
      </c>
      <c r="C26" s="271">
        <f t="shared" si="5"/>
        <v>12</v>
      </c>
      <c r="D26" s="271">
        <f t="shared" si="6"/>
        <v>12</v>
      </c>
      <c r="E26" s="272">
        <f t="shared" si="7"/>
        <v>0.5</v>
      </c>
      <c r="F26" s="271">
        <f t="shared" si="0"/>
        <v>24</v>
      </c>
      <c r="G26" s="275">
        <v>18</v>
      </c>
      <c r="H26" s="284">
        <f t="shared" si="1"/>
        <v>21.5</v>
      </c>
      <c r="I26" s="277">
        <f t="shared" si="2"/>
        <v>13</v>
      </c>
      <c r="J26" s="287">
        <f t="shared" si="3"/>
        <v>9.5</v>
      </c>
    </row>
    <row r="27" spans="2:10" ht="15" customHeight="1" x14ac:dyDescent="0.25">
      <c r="B27" s="271">
        <f t="shared" si="4"/>
        <v>44</v>
      </c>
      <c r="C27" s="271">
        <f t="shared" si="5"/>
        <v>12</v>
      </c>
      <c r="D27" s="271">
        <f t="shared" si="6"/>
        <v>12</v>
      </c>
      <c r="E27" s="272">
        <f t="shared" si="7"/>
        <v>0.5</v>
      </c>
      <c r="F27" s="271">
        <f t="shared" si="0"/>
        <v>24</v>
      </c>
      <c r="G27" s="275">
        <v>18</v>
      </c>
      <c r="H27" s="284">
        <f t="shared" si="1"/>
        <v>22</v>
      </c>
      <c r="I27" s="277">
        <f t="shared" si="2"/>
        <v>14</v>
      </c>
      <c r="J27" s="287">
        <f t="shared" si="3"/>
        <v>10</v>
      </c>
    </row>
    <row r="28" spans="2:10" ht="15" customHeight="1" x14ac:dyDescent="0.25">
      <c r="B28" s="271">
        <f t="shared" si="4"/>
        <v>45</v>
      </c>
      <c r="C28" s="271">
        <f t="shared" si="5"/>
        <v>12</v>
      </c>
      <c r="D28" s="271">
        <f t="shared" si="6"/>
        <v>12</v>
      </c>
      <c r="E28" s="272">
        <f t="shared" si="7"/>
        <v>0.5</v>
      </c>
      <c r="F28" s="271">
        <f t="shared" si="0"/>
        <v>24</v>
      </c>
      <c r="G28" s="275">
        <v>18</v>
      </c>
      <c r="H28" s="284">
        <f t="shared" si="1"/>
        <v>22.5</v>
      </c>
      <c r="I28" s="277">
        <f t="shared" si="2"/>
        <v>15</v>
      </c>
      <c r="J28" s="287">
        <f t="shared" si="3"/>
        <v>10.5</v>
      </c>
    </row>
    <row r="29" spans="2:10" ht="15" customHeight="1" x14ac:dyDescent="0.25">
      <c r="B29" s="271">
        <f t="shared" si="4"/>
        <v>46</v>
      </c>
      <c r="C29" s="271">
        <f t="shared" si="5"/>
        <v>12</v>
      </c>
      <c r="D29" s="271">
        <f t="shared" si="6"/>
        <v>12</v>
      </c>
      <c r="E29" s="272">
        <f t="shared" si="7"/>
        <v>0.5</v>
      </c>
      <c r="F29" s="271">
        <f t="shared" si="0"/>
        <v>24</v>
      </c>
      <c r="G29" s="275">
        <v>18</v>
      </c>
      <c r="H29" s="284">
        <f t="shared" si="1"/>
        <v>23</v>
      </c>
      <c r="I29" s="277">
        <f t="shared" si="2"/>
        <v>16</v>
      </c>
      <c r="J29" s="287">
        <f t="shared" si="3"/>
        <v>11</v>
      </c>
    </row>
    <row r="30" spans="2:10" ht="15" customHeight="1" x14ac:dyDescent="0.25">
      <c r="B30" s="271">
        <f t="shared" si="4"/>
        <v>47</v>
      </c>
      <c r="C30" s="271">
        <f t="shared" si="5"/>
        <v>12</v>
      </c>
      <c r="D30" s="271">
        <f t="shared" si="6"/>
        <v>12</v>
      </c>
      <c r="E30" s="272">
        <f t="shared" si="7"/>
        <v>0.5</v>
      </c>
      <c r="F30" s="271">
        <f t="shared" si="0"/>
        <v>24</v>
      </c>
      <c r="G30" s="275">
        <v>18</v>
      </c>
      <c r="H30" s="284">
        <f t="shared" si="1"/>
        <v>23.5</v>
      </c>
      <c r="I30" s="277">
        <f t="shared" si="2"/>
        <v>17</v>
      </c>
      <c r="J30" s="287">
        <f t="shared" si="3"/>
        <v>11.5</v>
      </c>
    </row>
    <row r="31" spans="2:10" ht="15" customHeight="1" x14ac:dyDescent="0.25">
      <c r="B31" s="271">
        <f t="shared" si="4"/>
        <v>48</v>
      </c>
      <c r="C31" s="271">
        <f t="shared" si="5"/>
        <v>12</v>
      </c>
      <c r="D31" s="271">
        <f t="shared" si="6"/>
        <v>12</v>
      </c>
      <c r="E31" s="272">
        <f t="shared" si="7"/>
        <v>0.5</v>
      </c>
      <c r="F31" s="271">
        <f t="shared" si="0"/>
        <v>24</v>
      </c>
      <c r="G31" s="275">
        <v>18</v>
      </c>
      <c r="H31" s="284">
        <f t="shared" si="1"/>
        <v>24</v>
      </c>
      <c r="I31" s="277">
        <f t="shared" si="2"/>
        <v>18</v>
      </c>
      <c r="J31" s="287">
        <f t="shared" si="3"/>
        <v>12</v>
      </c>
    </row>
    <row r="32" spans="2:10" ht="15" customHeight="1" x14ac:dyDescent="0.25">
      <c r="B32" s="271">
        <f t="shared" si="4"/>
        <v>49</v>
      </c>
      <c r="C32" s="271">
        <f t="shared" si="5"/>
        <v>12</v>
      </c>
      <c r="D32" s="271">
        <f t="shared" si="6"/>
        <v>12</v>
      </c>
      <c r="E32" s="272">
        <f t="shared" si="7"/>
        <v>0.5</v>
      </c>
      <c r="F32" s="271">
        <f t="shared" si="0"/>
        <v>24</v>
      </c>
      <c r="G32" s="275">
        <v>18</v>
      </c>
      <c r="H32" s="284">
        <f t="shared" si="1"/>
        <v>24.5</v>
      </c>
      <c r="I32" s="277">
        <f t="shared" si="2"/>
        <v>19</v>
      </c>
      <c r="J32" s="287">
        <f t="shared" si="3"/>
        <v>12.5</v>
      </c>
    </row>
    <row r="33" spans="2:10" ht="15" customHeight="1" x14ac:dyDescent="0.25">
      <c r="B33" s="271">
        <f t="shared" si="4"/>
        <v>50</v>
      </c>
      <c r="C33" s="271">
        <f t="shared" si="5"/>
        <v>12</v>
      </c>
      <c r="D33" s="271">
        <f t="shared" si="6"/>
        <v>12</v>
      </c>
      <c r="E33" s="272">
        <f t="shared" si="7"/>
        <v>0.5</v>
      </c>
      <c r="F33" s="271">
        <f t="shared" si="0"/>
        <v>24</v>
      </c>
      <c r="G33" s="275">
        <v>18</v>
      </c>
      <c r="H33" s="284">
        <f t="shared" si="1"/>
        <v>25</v>
      </c>
      <c r="I33" s="277">
        <f t="shared" si="2"/>
        <v>20</v>
      </c>
      <c r="J33" s="287">
        <f t="shared" si="3"/>
        <v>13</v>
      </c>
    </row>
  </sheetData>
  <pageMargins left="0.7" right="0.7" top="0.75" bottom="0.75" header="0.3" footer="0.3"/>
  <pageSetup paperSize="9" orientation="portrait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Hoja14"/>
  <dimension ref="A1:AO49"/>
  <sheetViews>
    <sheetView showGridLines="0" zoomScale="110" zoomScaleNormal="110" workbookViewId="0">
      <selection activeCell="A11" sqref="A11"/>
    </sheetView>
  </sheetViews>
  <sheetFormatPr baseColWidth="10" defaultColWidth="3.44140625" defaultRowHeight="15.6" outlineLevelCol="1" x14ac:dyDescent="0.3"/>
  <cols>
    <col min="1" max="2" width="3.44140625" style="716" customWidth="1"/>
    <col min="3" max="4" width="3.6640625" style="716" customWidth="1"/>
    <col min="5" max="5" width="3.5546875" style="716" customWidth="1"/>
    <col min="6" max="6" width="3.88671875" style="716" customWidth="1"/>
    <col min="7" max="7" width="3.5546875" style="716" customWidth="1"/>
    <col min="8" max="21" width="3.44140625" style="716" customWidth="1"/>
    <col min="22" max="24" width="3.5546875" style="716" customWidth="1"/>
    <col min="25" max="26" width="3.44140625" style="716" customWidth="1"/>
    <col min="27" max="28" width="7.44140625" style="716" customWidth="1"/>
    <col min="29" max="29" width="12" style="716" customWidth="1"/>
    <col min="30" max="30" width="14.88671875" style="716" customWidth="1"/>
    <col min="31" max="31" width="11.33203125" style="716" customWidth="1"/>
    <col min="32" max="32" width="14" style="903" customWidth="1"/>
    <col min="33" max="34" width="10.5546875" style="716" customWidth="1"/>
    <col min="35" max="35" width="10.6640625" style="716" customWidth="1" outlineLevel="1"/>
    <col min="36" max="41" width="11.33203125" style="716" customWidth="1" outlineLevel="1"/>
    <col min="42" max="50" width="11.33203125" style="716" customWidth="1"/>
    <col min="51" max="53" width="3.44140625" style="716" customWidth="1"/>
    <col min="54" max="16384" width="3.44140625" style="716"/>
  </cols>
  <sheetData>
    <row r="1" spans="1:41" ht="28.95" customHeight="1" x14ac:dyDescent="0.55000000000000004">
      <c r="A1" s="358"/>
      <c r="B1" s="359" t="s">
        <v>260</v>
      </c>
      <c r="C1" s="360"/>
      <c r="D1" s="360"/>
      <c r="E1" s="360"/>
      <c r="F1" s="360"/>
      <c r="G1" s="360"/>
      <c r="H1" s="360"/>
      <c r="I1" s="360"/>
      <c r="J1" s="360"/>
      <c r="K1" s="360"/>
      <c r="L1" s="360"/>
      <c r="M1" s="360"/>
      <c r="N1" s="360"/>
      <c r="O1" s="360"/>
      <c r="P1" s="360"/>
      <c r="Q1" s="360"/>
      <c r="R1" s="360"/>
      <c r="S1" s="360"/>
      <c r="T1" s="360"/>
      <c r="U1" s="360"/>
      <c r="V1" s="360"/>
      <c r="W1" s="360"/>
      <c r="X1" s="360"/>
      <c r="Y1" s="360"/>
      <c r="Z1" s="361"/>
      <c r="AC1" s="1768" t="s">
        <v>261</v>
      </c>
      <c r="AD1" s="1766"/>
      <c r="AE1" s="1766"/>
      <c r="AF1" s="1766"/>
      <c r="AG1" s="1767"/>
    </row>
    <row r="2" spans="1:41" x14ac:dyDescent="0.3">
      <c r="A2" s="362"/>
      <c r="S2" s="716" t="s">
        <v>262</v>
      </c>
      <c r="T2" s="363"/>
      <c r="U2" s="1769">
        <f ca="1">TODAY()</f>
        <v>46134</v>
      </c>
      <c r="V2" s="1770"/>
      <c r="W2" s="1770"/>
      <c r="X2" s="1770"/>
      <c r="Z2" s="364"/>
      <c r="AF2" s="365">
        <f ca="1">+U2</f>
        <v>46134</v>
      </c>
      <c r="AI2" s="365"/>
    </row>
    <row r="3" spans="1:41" ht="11.25" customHeight="1" x14ac:dyDescent="0.3">
      <c r="A3" s="362"/>
      <c r="Z3" s="364"/>
    </row>
    <row r="4" spans="1:41" x14ac:dyDescent="0.3">
      <c r="A4" s="362"/>
      <c r="B4" s="716" t="s">
        <v>263</v>
      </c>
      <c r="F4" s="1771"/>
      <c r="G4" s="1763"/>
      <c r="H4" s="1763"/>
      <c r="I4" s="1763"/>
      <c r="J4" s="1763"/>
      <c r="K4" s="1763"/>
      <c r="L4" s="1763"/>
      <c r="M4" s="1763"/>
      <c r="N4" s="1763"/>
      <c r="O4" s="716" t="s">
        <v>264</v>
      </c>
      <c r="V4" s="1772"/>
      <c r="W4" s="1763"/>
      <c r="X4" s="1763"/>
      <c r="Z4" s="364"/>
      <c r="AD4" s="389">
        <f>+F4</f>
        <v>0</v>
      </c>
    </row>
    <row r="5" spans="1:41" x14ac:dyDescent="0.3">
      <c r="A5" s="362"/>
      <c r="B5" s="716" t="s">
        <v>265</v>
      </c>
      <c r="Z5" s="364"/>
    </row>
    <row r="6" spans="1:41" x14ac:dyDescent="0.3">
      <c r="A6" s="362"/>
      <c r="B6" s="716" t="s">
        <v>266</v>
      </c>
      <c r="Z6" s="364"/>
    </row>
    <row r="7" spans="1:41" ht="12" customHeight="1" x14ac:dyDescent="0.3">
      <c r="A7" s="362"/>
      <c r="Z7" s="364"/>
      <c r="AE7" s="372" t="s">
        <v>267</v>
      </c>
      <c r="AF7" s="904" t="s">
        <v>268</v>
      </c>
    </row>
    <row r="8" spans="1:41" x14ac:dyDescent="0.3">
      <c r="A8" s="362"/>
      <c r="B8" s="717" t="s">
        <v>269</v>
      </c>
      <c r="C8" s="716" t="s">
        <v>270</v>
      </c>
      <c r="Z8" s="364"/>
    </row>
    <row r="9" spans="1:41" x14ac:dyDescent="0.3">
      <c r="A9" s="362"/>
      <c r="Z9" s="364"/>
    </row>
    <row r="10" spans="1:41" x14ac:dyDescent="0.3">
      <c r="A10" s="362"/>
      <c r="I10" s="1762"/>
      <c r="J10" s="1763"/>
      <c r="K10" s="716" t="s">
        <v>271</v>
      </c>
      <c r="Z10" s="364"/>
      <c r="AI10" s="1765" t="s">
        <v>272</v>
      </c>
      <c r="AJ10" s="1766"/>
      <c r="AK10" s="1766"/>
      <c r="AL10" s="1767"/>
      <c r="AN10" s="367">
        <f>IF(I10=0,0,1)</f>
        <v>0</v>
      </c>
      <c r="AO10" s="368"/>
    </row>
    <row r="11" spans="1:41" x14ac:dyDescent="0.3">
      <c r="A11" s="362"/>
      <c r="I11" s="1762"/>
      <c r="J11" s="1763"/>
      <c r="K11" s="369" t="s">
        <v>273</v>
      </c>
      <c r="Z11" s="364"/>
      <c r="AD11" s="389" t="s">
        <v>274</v>
      </c>
      <c r="AF11" s="905">
        <f>(AI12*C28+C29*AL12+AJ12*C30)*AE12*AN13</f>
        <v>42107173.109999999</v>
      </c>
      <c r="AI11" s="705" t="s">
        <v>275</v>
      </c>
      <c r="AJ11" s="706" t="s">
        <v>276</v>
      </c>
      <c r="AK11" s="706" t="s">
        <v>277</v>
      </c>
      <c r="AL11" s="707" t="s">
        <v>278</v>
      </c>
      <c r="AN11" s="367">
        <v>0</v>
      </c>
      <c r="AO11" s="368"/>
    </row>
    <row r="12" spans="1:41" x14ac:dyDescent="0.3">
      <c r="A12" s="362"/>
      <c r="I12" s="1781" t="s">
        <v>224</v>
      </c>
      <c r="J12" s="1763"/>
      <c r="K12" s="716" t="s">
        <v>279</v>
      </c>
      <c r="P12" s="1764">
        <v>45</v>
      </c>
      <c r="Q12" s="1763"/>
      <c r="R12" s="716" t="s">
        <v>72</v>
      </c>
      <c r="V12" s="1777" t="str">
        <f>IF(AO12=1,"bien","ERROR GIL!!!")</f>
        <v>bien</v>
      </c>
      <c r="W12" s="1770"/>
      <c r="X12" s="1770"/>
      <c r="Y12" s="1770"/>
      <c r="Z12" s="1778"/>
      <c r="AD12" s="366" t="s">
        <v>280</v>
      </c>
      <c r="AE12" s="906">
        <f>+RESUMEN!Q15</f>
        <v>1500</v>
      </c>
      <c r="AF12" s="716"/>
      <c r="AI12" s="907">
        <f>+RESUMEN!F13</f>
        <v>422.30242399999997</v>
      </c>
      <c r="AJ12" s="908">
        <f>+RESUMEN!G13</f>
        <v>863.90620000000001</v>
      </c>
      <c r="AK12" s="908">
        <v>0</v>
      </c>
      <c r="AL12" s="909">
        <f>+RESUMEN!I13</f>
        <v>825.31752000000006</v>
      </c>
      <c r="AN12" s="367">
        <f>IF(I12=0,0,P12)/100</f>
        <v>0.45</v>
      </c>
      <c r="AO12" s="910">
        <f>COUNTA(I10:J12)</f>
        <v>1</v>
      </c>
    </row>
    <row r="13" spans="1:41" x14ac:dyDescent="0.3">
      <c r="A13" s="362"/>
      <c r="Z13" s="364"/>
      <c r="AN13" s="371">
        <f>SUM(AN10:AN12)</f>
        <v>0.45</v>
      </c>
      <c r="AO13" s="368"/>
    </row>
    <row r="14" spans="1:41" x14ac:dyDescent="0.3">
      <c r="A14" s="362"/>
      <c r="B14" s="717" t="s">
        <v>281</v>
      </c>
      <c r="C14" s="716" t="s">
        <v>282</v>
      </c>
      <c r="F14" s="1773"/>
      <c r="G14" s="1763"/>
      <c r="H14" s="1763"/>
      <c r="I14" s="716" t="s">
        <v>283</v>
      </c>
      <c r="Z14" s="364"/>
      <c r="AD14" s="389" t="s">
        <v>284</v>
      </c>
      <c r="AF14" s="911">
        <f>+F14*RESUMEN!F4</f>
        <v>0</v>
      </c>
    </row>
    <row r="15" spans="1:41" x14ac:dyDescent="0.3">
      <c r="A15" s="362"/>
      <c r="Z15" s="364"/>
    </row>
    <row r="16" spans="1:41" x14ac:dyDescent="0.3">
      <c r="A16" s="362"/>
      <c r="B16" s="717" t="s">
        <v>285</v>
      </c>
      <c r="C16" s="716" t="s">
        <v>286</v>
      </c>
      <c r="Z16" s="364"/>
    </row>
    <row r="17" spans="1:40" x14ac:dyDescent="0.3">
      <c r="A17" s="362"/>
      <c r="C17" s="372" t="s">
        <v>287</v>
      </c>
      <c r="D17" s="1773"/>
      <c r="E17" s="1763"/>
      <c r="F17" s="1763"/>
      <c r="G17" s="373" t="s">
        <v>288</v>
      </c>
      <c r="N17" s="1773">
        <v>0</v>
      </c>
      <c r="O17" s="1763"/>
      <c r="P17" s="1763"/>
      <c r="Q17" s="716" t="s">
        <v>289</v>
      </c>
      <c r="Z17" s="364"/>
      <c r="AC17" s="912" t="str">
        <f>IF((D17*N17)=0,"bien","MAL")</f>
        <v>bien</v>
      </c>
      <c r="AD17" s="389" t="s">
        <v>290</v>
      </c>
      <c r="AF17" s="911">
        <f>+D17*12+N17</f>
        <v>0</v>
      </c>
    </row>
    <row r="18" spans="1:40" x14ac:dyDescent="0.3">
      <c r="A18" s="362"/>
      <c r="Z18" s="364"/>
    </row>
    <row r="19" spans="1:40" x14ac:dyDescent="0.3">
      <c r="A19" s="362"/>
      <c r="B19" s="717" t="s">
        <v>291</v>
      </c>
      <c r="C19" s="716" t="s">
        <v>292</v>
      </c>
      <c r="G19" s="1773"/>
      <c r="H19" s="1763"/>
      <c r="I19" s="1763"/>
      <c r="J19" s="716" t="s">
        <v>293</v>
      </c>
      <c r="T19" s="1771"/>
      <c r="U19" s="1763"/>
      <c r="V19" s="1763"/>
      <c r="W19" s="1763"/>
      <c r="X19" s="1763"/>
      <c r="Z19" s="364"/>
      <c r="AC19" s="372" t="s">
        <v>294</v>
      </c>
      <c r="AD19" s="389" t="s">
        <v>295</v>
      </c>
      <c r="AF19" s="911">
        <f>+AC20*G19</f>
        <v>0</v>
      </c>
    </row>
    <row r="20" spans="1:40" x14ac:dyDescent="0.3">
      <c r="A20" s="362"/>
      <c r="Z20" s="364"/>
      <c r="AC20" s="374">
        <v>12.5</v>
      </c>
    </row>
    <row r="21" spans="1:40" x14ac:dyDescent="0.3">
      <c r="A21" s="362"/>
      <c r="B21" s="717" t="s">
        <v>296</v>
      </c>
      <c r="C21" s="716" t="s">
        <v>297</v>
      </c>
      <c r="H21" s="1779">
        <v>0</v>
      </c>
      <c r="I21" s="1763"/>
      <c r="J21" s="1763"/>
      <c r="K21" s="1763"/>
      <c r="M21" s="716" t="s">
        <v>298</v>
      </c>
      <c r="Q21" s="1773"/>
      <c r="R21" s="1763"/>
      <c r="S21" s="1763"/>
      <c r="T21" s="716" t="s">
        <v>299</v>
      </c>
      <c r="Z21" s="364"/>
      <c r="AD21" s="389" t="s">
        <v>300</v>
      </c>
      <c r="AF21" s="911">
        <f>+H21+Q21*RESUMEN!F4</f>
        <v>0</v>
      </c>
      <c r="AN21" s="910" t="str">
        <f>IF((H21*Q21)=0,"bien","ERROR GIL!!!")</f>
        <v>bien</v>
      </c>
    </row>
    <row r="22" spans="1:40" x14ac:dyDescent="0.3">
      <c r="A22" s="362"/>
      <c r="C22" s="716" t="s">
        <v>301</v>
      </c>
      <c r="H22" s="375"/>
      <c r="I22" s="375"/>
      <c r="J22" s="375"/>
      <c r="K22" s="375"/>
      <c r="L22" s="375"/>
      <c r="M22" s="375"/>
      <c r="N22" s="375"/>
      <c r="O22" s="375"/>
      <c r="P22" s="375"/>
      <c r="Q22" s="375"/>
      <c r="R22" s="375"/>
      <c r="S22" s="375"/>
      <c r="T22" s="375"/>
      <c r="U22" s="375"/>
      <c r="V22" s="375"/>
      <c r="W22" s="375"/>
      <c r="Z22" s="364"/>
    </row>
    <row r="23" spans="1:40" x14ac:dyDescent="0.3">
      <c r="A23" s="362"/>
      <c r="C23" s="375"/>
      <c r="D23" s="375"/>
      <c r="E23" s="375"/>
      <c r="F23" s="375"/>
      <c r="G23" s="375"/>
      <c r="H23" s="375"/>
      <c r="I23" s="375"/>
      <c r="J23" s="375"/>
      <c r="K23" s="375"/>
      <c r="L23" s="375"/>
      <c r="M23" s="375"/>
      <c r="N23" s="375"/>
      <c r="O23" s="375"/>
      <c r="P23" s="375"/>
      <c r="Q23" s="375"/>
      <c r="R23" s="375"/>
      <c r="S23" s="375"/>
      <c r="T23" s="375"/>
      <c r="U23" s="375"/>
      <c r="V23" s="375"/>
      <c r="W23" s="375"/>
      <c r="Z23" s="364"/>
      <c r="AD23" s="389" t="s">
        <v>302</v>
      </c>
      <c r="AE23" s="913"/>
      <c r="AF23" s="911">
        <f>SUM(D41:G44)</f>
        <v>0</v>
      </c>
    </row>
    <row r="24" spans="1:40" x14ac:dyDescent="0.3">
      <c r="A24" s="362"/>
      <c r="V24" s="1780" t="str">
        <f>+AN21</f>
        <v>bien</v>
      </c>
      <c r="W24" s="1770"/>
      <c r="X24" s="1770"/>
      <c r="Y24" s="1770"/>
      <c r="Z24" s="1778"/>
      <c r="AE24" s="914"/>
      <c r="AF24" s="915"/>
    </row>
    <row r="25" spans="1:40" x14ac:dyDescent="0.3">
      <c r="A25" s="362"/>
      <c r="Z25" s="364"/>
    </row>
    <row r="26" spans="1:40" ht="17.399999999999999" customHeight="1" x14ac:dyDescent="0.35">
      <c r="A26" s="362"/>
      <c r="B26" s="377" t="s">
        <v>303</v>
      </c>
      <c r="C26" s="716" t="s">
        <v>304</v>
      </c>
      <c r="Z26" s="364"/>
      <c r="AE26" s="376" t="s">
        <v>305</v>
      </c>
      <c r="AF26" s="915">
        <f>SUM(AF9:AF24)</f>
        <v>42107173.109999999</v>
      </c>
    </row>
    <row r="27" spans="1:40" x14ac:dyDescent="0.3">
      <c r="A27" s="362"/>
      <c r="C27" s="1774" t="s">
        <v>306</v>
      </c>
      <c r="D27" s="1770"/>
      <c r="E27" s="1770"/>
      <c r="F27" s="378" t="s">
        <v>307</v>
      </c>
      <c r="Z27" s="364"/>
    </row>
    <row r="28" spans="1:40" x14ac:dyDescent="0.3">
      <c r="A28" s="362"/>
      <c r="C28" s="1775">
        <f>+RESUMEN!F78</f>
        <v>50</v>
      </c>
      <c r="D28" s="1699"/>
      <c r="E28" s="1699"/>
      <c r="F28" s="716" t="s">
        <v>308</v>
      </c>
      <c r="O28" s="379" t="s">
        <v>309</v>
      </c>
      <c r="Z28" s="364"/>
      <c r="AE28" s="376" t="s">
        <v>310</v>
      </c>
      <c r="AF28" s="916">
        <v>0</v>
      </c>
    </row>
    <row r="29" spans="1:40" x14ac:dyDescent="0.3">
      <c r="A29" s="362"/>
      <c r="C29" s="1776">
        <f>+RESUMEN!I78</f>
        <v>50</v>
      </c>
      <c r="D29" s="1693"/>
      <c r="E29" s="1693"/>
      <c r="F29" s="716" t="s">
        <v>311</v>
      </c>
      <c r="O29" s="1775">
        <f>+RESUMEN!E83</f>
        <v>0</v>
      </c>
      <c r="P29" s="1699"/>
      <c r="Q29" s="1699"/>
      <c r="R29" s="716" t="s">
        <v>312</v>
      </c>
      <c r="Z29" s="364"/>
    </row>
    <row r="30" spans="1:40" x14ac:dyDescent="0.3">
      <c r="A30" s="362"/>
      <c r="C30" s="1776">
        <f>+RESUMEN!G78</f>
        <v>0</v>
      </c>
      <c r="D30" s="1693"/>
      <c r="E30" s="1693"/>
      <c r="F30" s="716" t="s">
        <v>313</v>
      </c>
      <c r="O30" s="1776">
        <f>+RESUMEN!G83</f>
        <v>100</v>
      </c>
      <c r="P30" s="1693"/>
      <c r="Q30" s="1693"/>
      <c r="R30" s="716" t="s">
        <v>314</v>
      </c>
      <c r="Z30" s="364"/>
      <c r="AE30" s="380" t="s">
        <v>315</v>
      </c>
      <c r="AF30" s="917">
        <f>(RESUMEN!F8*RESUMEN!F5*RESUMEN!F78+RESUMEN!G78*RESUMEN!G9*RESUMEN!F5+RESUMEN!G5*RESUMEN!G8*RESUMEN!G78+RESUMEN!I78*RESUMEN!I8*RESUMEN!I5)*0.9</f>
        <v>215069062.5</v>
      </c>
    </row>
    <row r="31" spans="1:40" x14ac:dyDescent="0.3">
      <c r="A31" s="362"/>
      <c r="C31" s="1776">
        <f>+C30</f>
        <v>0</v>
      </c>
      <c r="D31" s="1693"/>
      <c r="E31" s="1693"/>
      <c r="F31" s="716" t="s">
        <v>316</v>
      </c>
      <c r="Z31" s="364"/>
      <c r="AF31" s="716"/>
    </row>
    <row r="32" spans="1:40" x14ac:dyDescent="0.3">
      <c r="A32" s="362"/>
      <c r="C32" s="1776"/>
      <c r="D32" s="1693"/>
      <c r="E32" s="1693"/>
      <c r="F32" s="716" t="s">
        <v>317</v>
      </c>
      <c r="N32" s="381" t="s">
        <v>318</v>
      </c>
      <c r="O32" s="381"/>
      <c r="P32" s="381"/>
      <c r="Q32" s="381"/>
      <c r="R32" s="381"/>
      <c r="S32" s="381"/>
      <c r="T32" s="381"/>
      <c r="U32" s="381"/>
      <c r="V32" s="381"/>
      <c r="W32" s="381"/>
      <c r="Z32" s="364"/>
      <c r="AD32" s="368"/>
      <c r="AE32" s="918" t="s">
        <v>319</v>
      </c>
      <c r="AF32" s="919">
        <f>+RESUMEN!P80</f>
        <v>37207699.199999966</v>
      </c>
    </row>
    <row r="33" spans="1:33" x14ac:dyDescent="0.3">
      <c r="A33" s="362"/>
      <c r="C33" s="1784">
        <f>SUM(C28:E32)</f>
        <v>100</v>
      </c>
      <c r="D33" s="1770"/>
      <c r="E33" s="1770"/>
      <c r="F33" s="382" t="s">
        <v>320</v>
      </c>
      <c r="N33" s="1785">
        <v>19</v>
      </c>
      <c r="O33" s="1763"/>
      <c r="P33" s="381" t="s">
        <v>321</v>
      </c>
      <c r="Q33" s="381"/>
      <c r="R33" s="381"/>
      <c r="S33" s="381"/>
      <c r="T33" s="381"/>
      <c r="U33" s="383" t="s">
        <v>224</v>
      </c>
      <c r="V33" s="381" t="s">
        <v>322</v>
      </c>
      <c r="W33" s="381"/>
      <c r="Z33" s="364"/>
    </row>
    <row r="34" spans="1:33" x14ac:dyDescent="0.3">
      <c r="A34" s="362"/>
      <c r="N34" s="381"/>
      <c r="O34" s="381"/>
      <c r="P34" s="381"/>
      <c r="Q34" s="381"/>
      <c r="R34" s="381"/>
      <c r="S34" s="381"/>
      <c r="T34" s="381"/>
      <c r="U34" s="384"/>
      <c r="V34" s="381" t="s">
        <v>323</v>
      </c>
      <c r="W34" s="381"/>
      <c r="Z34" s="364"/>
      <c r="AC34" s="920" t="s">
        <v>324</v>
      </c>
      <c r="AD34" s="920"/>
      <c r="AE34" s="920"/>
      <c r="AF34" s="920"/>
    </row>
    <row r="35" spans="1:33" x14ac:dyDescent="0.3">
      <c r="A35" s="362"/>
      <c r="Z35" s="364"/>
      <c r="AC35" s="920" t="str">
        <f>IF((C33-O29-O30)=0,"bien",(C33-O29-O30))</f>
        <v>bien</v>
      </c>
      <c r="AD35" s="385"/>
      <c r="AE35" s="920"/>
      <c r="AF35" s="920"/>
    </row>
    <row r="36" spans="1:33" x14ac:dyDescent="0.3">
      <c r="A36" s="362"/>
      <c r="B36" s="381" t="s">
        <v>325</v>
      </c>
      <c r="N36" s="419"/>
      <c r="O36" s="419"/>
      <c r="P36" s="419"/>
      <c r="Q36" s="419"/>
      <c r="R36" s="419"/>
      <c r="S36" s="419"/>
      <c r="T36" s="419"/>
      <c r="U36" s="419"/>
      <c r="V36" s="419"/>
      <c r="W36" s="419"/>
      <c r="X36" s="419"/>
      <c r="Z36" s="364"/>
      <c r="AD36" s="921"/>
      <c r="AE36" s="921"/>
    </row>
    <row r="37" spans="1:33" x14ac:dyDescent="0.3">
      <c r="A37" s="362"/>
      <c r="B37" s="420"/>
      <c r="C37" s="419"/>
      <c r="D37" s="419"/>
      <c r="E37" s="419"/>
      <c r="F37" s="419"/>
      <c r="G37" s="419"/>
      <c r="H37" s="419"/>
      <c r="I37" s="419"/>
      <c r="J37" s="419"/>
      <c r="K37" s="419"/>
      <c r="L37" s="419"/>
      <c r="M37" s="419"/>
      <c r="N37" s="419"/>
      <c r="O37" s="419"/>
      <c r="P37" s="419"/>
      <c r="Q37" s="419"/>
      <c r="R37" s="419"/>
      <c r="S37" s="419"/>
      <c r="T37" s="419"/>
      <c r="U37" s="419"/>
      <c r="V37" s="419"/>
      <c r="W37" s="419"/>
      <c r="X37" s="419"/>
      <c r="Z37" s="364"/>
      <c r="AC37" s="386"/>
      <c r="AD37" s="387" t="s">
        <v>326</v>
      </c>
      <c r="AE37" s="387" t="s">
        <v>327</v>
      </c>
      <c r="AF37" s="387" t="s">
        <v>251</v>
      </c>
    </row>
    <row r="38" spans="1:33" x14ac:dyDescent="0.3">
      <c r="A38" s="362"/>
      <c r="Z38" s="364"/>
      <c r="AC38" s="386"/>
      <c r="AD38" s="387" t="s">
        <v>328</v>
      </c>
      <c r="AE38" s="387" t="s">
        <v>329</v>
      </c>
      <c r="AF38" s="387" t="s">
        <v>330</v>
      </c>
    </row>
    <row r="39" spans="1:33" ht="17.399999999999999" customHeight="1" x14ac:dyDescent="0.35">
      <c r="A39" s="362"/>
      <c r="B39" s="377" t="s">
        <v>303</v>
      </c>
      <c r="C39" s="716" t="s">
        <v>331</v>
      </c>
      <c r="Z39" s="364"/>
      <c r="AC39" s="388" t="s">
        <v>276</v>
      </c>
      <c r="AD39" s="922">
        <v>1500</v>
      </c>
      <c r="AE39" s="922">
        <v>0</v>
      </c>
      <c r="AF39" s="923">
        <f>IFERROR((AD39/AE39),0)</f>
        <v>0</v>
      </c>
    </row>
    <row r="40" spans="1:33" x14ac:dyDescent="0.3">
      <c r="A40" s="362"/>
      <c r="D40" s="1783" t="s">
        <v>332</v>
      </c>
      <c r="E40" s="1770"/>
      <c r="F40" s="1770"/>
      <c r="G40" s="1770"/>
      <c r="H40" s="389" t="s">
        <v>333</v>
      </c>
      <c r="Q40" s="389" t="s">
        <v>334</v>
      </c>
      <c r="Z40" s="364"/>
      <c r="AC40" s="924" t="s">
        <v>278</v>
      </c>
      <c r="AD40" s="922">
        <v>500</v>
      </c>
      <c r="AE40" s="922"/>
      <c r="AF40" s="923">
        <f>IFERROR((AD40/AE40),0)</f>
        <v>0</v>
      </c>
    </row>
    <row r="41" spans="1:33" x14ac:dyDescent="0.3">
      <c r="A41" s="362"/>
      <c r="D41" s="1779">
        <v>0</v>
      </c>
      <c r="E41" s="1763"/>
      <c r="F41" s="1763"/>
      <c r="G41" s="1763"/>
      <c r="H41" s="1779">
        <v>0</v>
      </c>
      <c r="I41" s="1763"/>
      <c r="J41" s="1763"/>
      <c r="K41" s="1763"/>
      <c r="L41" s="1763"/>
      <c r="M41" s="1763"/>
      <c r="N41" s="1763"/>
      <c r="O41" s="1763"/>
      <c r="P41" s="1782"/>
      <c r="Q41" s="1763"/>
      <c r="R41" s="1763"/>
      <c r="S41" s="1763"/>
      <c r="Z41" s="364"/>
      <c r="AC41" s="388" t="s">
        <v>335</v>
      </c>
      <c r="AD41" s="922">
        <v>4500</v>
      </c>
      <c r="AE41" s="922">
        <v>180</v>
      </c>
      <c r="AF41" s="923">
        <f>IFERROR((AD41/AE41),0)</f>
        <v>25</v>
      </c>
    </row>
    <row r="42" spans="1:33" x14ac:dyDescent="0.3">
      <c r="A42" s="362"/>
      <c r="D42" s="1786">
        <v>0</v>
      </c>
      <c r="E42" s="1787"/>
      <c r="F42" s="1787"/>
      <c r="G42" s="1787"/>
      <c r="H42" s="1779">
        <v>0</v>
      </c>
      <c r="I42" s="1763"/>
      <c r="J42" s="1763"/>
      <c r="K42" s="1763"/>
      <c r="L42" s="1763"/>
      <c r="M42" s="1763"/>
      <c r="N42" s="1763"/>
      <c r="O42" s="1763"/>
      <c r="P42" s="1782"/>
      <c r="Q42" s="1763"/>
      <c r="R42" s="1763"/>
      <c r="S42" s="1763"/>
      <c r="Z42" s="364"/>
      <c r="AD42" s="925">
        <f>+AD39*RESUMEN!G5+RESUMEN!F5*'INFO ANALISIS'!AD41+'INFO ANALISIS'!AD40*RESUMEN!I5</f>
        <v>249572500</v>
      </c>
    </row>
    <row r="43" spans="1:33" x14ac:dyDescent="0.3">
      <c r="A43" s="362"/>
      <c r="D43" s="1786">
        <v>0</v>
      </c>
      <c r="E43" s="1787"/>
      <c r="F43" s="1787"/>
      <c r="G43" s="1787"/>
      <c r="H43" s="1779">
        <v>0</v>
      </c>
      <c r="I43" s="1763"/>
      <c r="J43" s="1763"/>
      <c r="K43" s="1763"/>
      <c r="L43" s="1763"/>
      <c r="M43" s="1763"/>
      <c r="N43" s="1763"/>
      <c r="O43" s="1763"/>
      <c r="P43" s="1782"/>
      <c r="Q43" s="1763"/>
      <c r="R43" s="1763"/>
      <c r="S43" s="1763"/>
      <c r="Z43" s="364"/>
      <c r="AF43" s="716"/>
    </row>
    <row r="44" spans="1:33" x14ac:dyDescent="0.3">
      <c r="A44" s="362"/>
      <c r="D44" s="1786">
        <v>0</v>
      </c>
      <c r="E44" s="1787"/>
      <c r="F44" s="1787"/>
      <c r="G44" s="1787"/>
      <c r="H44" s="1779">
        <v>0</v>
      </c>
      <c r="I44" s="1763"/>
      <c r="J44" s="1763"/>
      <c r="K44" s="1763"/>
      <c r="L44" s="1763"/>
      <c r="M44" s="1763"/>
      <c r="N44" s="1763"/>
      <c r="O44" s="1763"/>
      <c r="P44" s="1782"/>
      <c r="Q44" s="1763"/>
      <c r="R44" s="1763"/>
      <c r="S44" s="1763"/>
      <c r="Z44" s="364"/>
      <c r="AG44" s="926"/>
    </row>
    <row r="45" spans="1:33" x14ac:dyDescent="0.3">
      <c r="A45" s="362"/>
      <c r="Z45" s="364"/>
      <c r="AE45" s="927" t="str">
        <f>IF(AF45=0,0,"Solicitado + Adeudado / Entregado:")</f>
        <v>Solicitado + Adeudado / Entregado:</v>
      </c>
      <c r="AF45" s="390">
        <f>IFERROR((AF26+AF28)/(AD42*0.9),0)</f>
        <v>0.18746355427781505</v>
      </c>
    </row>
    <row r="46" spans="1:33" x14ac:dyDescent="0.3">
      <c r="A46" s="362"/>
      <c r="Q46" s="716" t="s">
        <v>336</v>
      </c>
      <c r="Z46" s="364"/>
      <c r="AE46" s="926" t="s">
        <v>337</v>
      </c>
      <c r="AF46" s="390">
        <f>IFERROR((AF28+AF26)/AF30,0)</f>
        <v>0.19578442673501681</v>
      </c>
    </row>
    <row r="47" spans="1:33" x14ac:dyDescent="0.3">
      <c r="A47" s="362"/>
      <c r="Z47" s="364"/>
      <c r="AF47" s="716"/>
    </row>
    <row r="48" spans="1:33" x14ac:dyDescent="0.3">
      <c r="A48" s="362"/>
      <c r="P48" s="372" t="s">
        <v>338</v>
      </c>
      <c r="Z48" s="364"/>
      <c r="AC48" s="370" t="s">
        <v>339</v>
      </c>
      <c r="AD48" s="375"/>
      <c r="AE48" s="375"/>
      <c r="AF48" s="928"/>
    </row>
    <row r="49" spans="1:26" ht="16.2" customHeight="1" thickBot="1" x14ac:dyDescent="0.35">
      <c r="A49" s="391"/>
      <c r="B49" s="392"/>
      <c r="C49" s="392"/>
      <c r="D49" s="392"/>
      <c r="E49" s="392"/>
      <c r="F49" s="392"/>
      <c r="G49" s="392"/>
      <c r="H49" s="392"/>
      <c r="I49" s="392"/>
      <c r="J49" s="392"/>
      <c r="K49" s="392"/>
      <c r="L49" s="392"/>
      <c r="M49" s="392"/>
      <c r="N49" s="392"/>
      <c r="O49" s="392"/>
      <c r="P49" s="392"/>
      <c r="Q49" s="392"/>
      <c r="R49" s="392"/>
      <c r="S49" s="392"/>
      <c r="T49" s="392"/>
      <c r="U49" s="392"/>
      <c r="V49" s="392"/>
      <c r="W49" s="392"/>
      <c r="X49" s="392"/>
      <c r="Y49" s="392"/>
      <c r="Z49" s="393"/>
    </row>
  </sheetData>
  <sheetProtection password="CE1C" sheet="1" objects="1" scenarios="1"/>
  <mergeCells count="41">
    <mergeCell ref="D44:G44"/>
    <mergeCell ref="H44:O44"/>
    <mergeCell ref="P44:S44"/>
    <mergeCell ref="P41:S41"/>
    <mergeCell ref="D42:G42"/>
    <mergeCell ref="H42:O42"/>
    <mergeCell ref="P42:S42"/>
    <mergeCell ref="D43:G43"/>
    <mergeCell ref="H43:O43"/>
    <mergeCell ref="D41:G41"/>
    <mergeCell ref="C30:E30"/>
    <mergeCell ref="O30:Q30"/>
    <mergeCell ref="C32:E32"/>
    <mergeCell ref="P43:S43"/>
    <mergeCell ref="D40:G40"/>
    <mergeCell ref="H41:O41"/>
    <mergeCell ref="C33:E33"/>
    <mergeCell ref="N33:O33"/>
    <mergeCell ref="C31:E31"/>
    <mergeCell ref="G19:I19"/>
    <mergeCell ref="C27:E27"/>
    <mergeCell ref="C28:E28"/>
    <mergeCell ref="C29:E29"/>
    <mergeCell ref="V12:Z12"/>
    <mergeCell ref="T19:X19"/>
    <mergeCell ref="H21:K21"/>
    <mergeCell ref="Q21:S21"/>
    <mergeCell ref="V24:Z24"/>
    <mergeCell ref="F14:H14"/>
    <mergeCell ref="D17:F17"/>
    <mergeCell ref="N17:P17"/>
    <mergeCell ref="I12:J12"/>
    <mergeCell ref="O29:Q29"/>
    <mergeCell ref="I11:J11"/>
    <mergeCell ref="P12:Q12"/>
    <mergeCell ref="AI10:AL10"/>
    <mergeCell ref="AC1:AG1"/>
    <mergeCell ref="U2:X2"/>
    <mergeCell ref="F4:N4"/>
    <mergeCell ref="V4:X4"/>
    <mergeCell ref="I10:J10"/>
  </mergeCells>
  <pageMargins left="0.7" right="0.7" top="0.75" bottom="0.75" header="0.3" footer="0.3"/>
  <pageSetup paperSize="9" orientation="portrait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Hoja15">
    <pageSetUpPr fitToPage="1"/>
  </sheetPr>
  <dimension ref="A1:Z49"/>
  <sheetViews>
    <sheetView showGridLines="0" workbookViewId="0">
      <selection activeCell="H12" sqref="H12"/>
    </sheetView>
  </sheetViews>
  <sheetFormatPr baseColWidth="10" defaultColWidth="3.44140625" defaultRowHeight="15.6" x14ac:dyDescent="0.3"/>
  <cols>
    <col min="1" max="2" width="3.44140625" style="399" customWidth="1"/>
    <col min="3" max="4" width="3.6640625" style="399" customWidth="1"/>
    <col min="5" max="5" width="3.5546875" style="399" customWidth="1"/>
    <col min="6" max="6" width="3.88671875" style="399" customWidth="1"/>
    <col min="7" max="7" width="3.5546875" style="399" customWidth="1"/>
    <col min="8" max="21" width="3.44140625" style="399" customWidth="1"/>
    <col min="22" max="24" width="3.5546875" style="399" customWidth="1"/>
    <col min="25" max="26" width="3.44140625" style="399" customWidth="1"/>
    <col min="27" max="27" width="7.44140625" style="399" customWidth="1"/>
    <col min="28" max="34" width="11.33203125" style="399" customWidth="1"/>
    <col min="35" max="37" width="3.44140625" style="399" customWidth="1"/>
    <col min="38" max="16384" width="3.44140625" style="399"/>
  </cols>
  <sheetData>
    <row r="1" spans="1:26" ht="28.95" customHeight="1" x14ac:dyDescent="0.55000000000000004">
      <c r="A1" s="394"/>
      <c r="B1" s="395" t="s">
        <v>260</v>
      </c>
      <c r="C1" s="396"/>
      <c r="D1" s="396"/>
      <c r="E1" s="396"/>
      <c r="F1" s="396"/>
      <c r="G1" s="396"/>
      <c r="H1" s="396"/>
      <c r="I1" s="396"/>
      <c r="J1" s="396"/>
      <c r="K1" s="396"/>
      <c r="L1" s="396"/>
      <c r="M1" s="396"/>
      <c r="N1" s="396"/>
      <c r="O1" s="396"/>
      <c r="P1" s="396"/>
      <c r="Q1" s="396"/>
      <c r="R1" s="396"/>
      <c r="S1" s="396"/>
      <c r="T1" s="396"/>
      <c r="U1" s="396"/>
      <c r="V1" s="396"/>
      <c r="W1" s="396"/>
      <c r="X1" s="396"/>
      <c r="Y1" s="396"/>
      <c r="Z1" s="397"/>
    </row>
    <row r="2" spans="1:26" x14ac:dyDescent="0.3">
      <c r="A2" s="398"/>
      <c r="S2" s="399" t="s">
        <v>262</v>
      </c>
      <c r="T2" s="400"/>
      <c r="U2" s="1792">
        <v>40680</v>
      </c>
      <c r="V2" s="1697"/>
      <c r="W2" s="1697"/>
      <c r="X2" s="1697"/>
      <c r="Z2" s="401"/>
    </row>
    <row r="3" spans="1:26" ht="11.25" customHeight="1" x14ac:dyDescent="0.3">
      <c r="A3" s="398"/>
      <c r="Z3" s="401"/>
    </row>
    <row r="4" spans="1:26" x14ac:dyDescent="0.3">
      <c r="A4" s="398"/>
      <c r="B4" s="399" t="s">
        <v>263</v>
      </c>
      <c r="F4" s="1790"/>
      <c r="G4" s="1699"/>
      <c r="H4" s="1699"/>
      <c r="I4" s="1699"/>
      <c r="J4" s="1699"/>
      <c r="K4" s="1699"/>
      <c r="L4" s="1699"/>
      <c r="M4" s="1699"/>
      <c r="N4" s="1699"/>
      <c r="O4" s="399" t="s">
        <v>264</v>
      </c>
      <c r="V4" s="1793"/>
      <c r="W4" s="1699"/>
      <c r="X4" s="1699"/>
      <c r="Z4" s="401"/>
    </row>
    <row r="5" spans="1:26" x14ac:dyDescent="0.3">
      <c r="A5" s="398"/>
      <c r="B5" s="399" t="s">
        <v>265</v>
      </c>
      <c r="Z5" s="401"/>
    </row>
    <row r="6" spans="1:26" x14ac:dyDescent="0.3">
      <c r="A6" s="398"/>
      <c r="B6" s="399" t="s">
        <v>266</v>
      </c>
      <c r="Z6" s="401"/>
    </row>
    <row r="7" spans="1:26" ht="15.75" customHeight="1" x14ac:dyDescent="0.3">
      <c r="A7" s="398"/>
      <c r="Z7" s="401"/>
    </row>
    <row r="8" spans="1:26" x14ac:dyDescent="0.3">
      <c r="A8" s="398"/>
      <c r="B8" s="718" t="s">
        <v>269</v>
      </c>
      <c r="C8" s="399" t="s">
        <v>270</v>
      </c>
      <c r="Z8" s="401"/>
    </row>
    <row r="9" spans="1:26" ht="9.75" customHeight="1" x14ac:dyDescent="0.3">
      <c r="A9" s="398"/>
      <c r="Z9" s="401"/>
    </row>
    <row r="10" spans="1:26" x14ac:dyDescent="0.3">
      <c r="A10" s="398"/>
      <c r="I10" s="1794"/>
      <c r="J10" s="1699"/>
      <c r="K10" s="399" t="s">
        <v>271</v>
      </c>
      <c r="Z10" s="401"/>
    </row>
    <row r="11" spans="1:26" x14ac:dyDescent="0.3">
      <c r="A11" s="398"/>
      <c r="I11" s="1794"/>
      <c r="J11" s="1699"/>
      <c r="K11" s="402" t="s">
        <v>273</v>
      </c>
      <c r="Z11" s="401"/>
    </row>
    <row r="12" spans="1:26" x14ac:dyDescent="0.3">
      <c r="A12" s="398"/>
      <c r="I12" s="1796"/>
      <c r="J12" s="1699"/>
      <c r="K12" s="399" t="s">
        <v>279</v>
      </c>
      <c r="P12" s="1797"/>
      <c r="Q12" s="1699"/>
      <c r="R12" s="399" t="s">
        <v>72</v>
      </c>
      <c r="V12" s="1798"/>
      <c r="W12" s="1697"/>
      <c r="X12" s="1697"/>
      <c r="Y12" s="1697"/>
      <c r="Z12" s="1789"/>
    </row>
    <row r="13" spans="1:26" x14ac:dyDescent="0.3">
      <c r="A13" s="398"/>
      <c r="Z13" s="401"/>
    </row>
    <row r="14" spans="1:26" x14ac:dyDescent="0.3">
      <c r="A14" s="398"/>
      <c r="B14" s="718" t="s">
        <v>281</v>
      </c>
      <c r="C14" s="399" t="s">
        <v>282</v>
      </c>
      <c r="F14" s="1795"/>
      <c r="G14" s="1699"/>
      <c r="H14" s="1699"/>
      <c r="I14" s="399" t="s">
        <v>283</v>
      </c>
      <c r="Z14" s="401"/>
    </row>
    <row r="15" spans="1:26" x14ac:dyDescent="0.3">
      <c r="A15" s="398"/>
      <c r="Z15" s="401"/>
    </row>
    <row r="16" spans="1:26" x14ac:dyDescent="0.3">
      <c r="A16" s="398"/>
      <c r="B16" s="718" t="s">
        <v>285</v>
      </c>
      <c r="C16" s="399" t="s">
        <v>286</v>
      </c>
      <c r="Z16" s="401"/>
    </row>
    <row r="17" spans="1:26" x14ac:dyDescent="0.3">
      <c r="A17" s="398"/>
      <c r="C17" s="403" t="s">
        <v>287</v>
      </c>
      <c r="D17" s="1795"/>
      <c r="E17" s="1699"/>
      <c r="F17" s="1699"/>
      <c r="G17" s="404" t="s">
        <v>288</v>
      </c>
      <c r="N17" s="1795"/>
      <c r="O17" s="1699"/>
      <c r="P17" s="1699"/>
      <c r="Q17" s="399" t="s">
        <v>289</v>
      </c>
      <c r="Z17" s="401"/>
    </row>
    <row r="18" spans="1:26" x14ac:dyDescent="0.3">
      <c r="A18" s="398"/>
      <c r="Z18" s="401"/>
    </row>
    <row r="19" spans="1:26" x14ac:dyDescent="0.3">
      <c r="A19" s="398"/>
      <c r="B19" s="718" t="s">
        <v>291</v>
      </c>
      <c r="C19" s="399" t="s">
        <v>292</v>
      </c>
      <c r="G19" s="1795"/>
      <c r="H19" s="1699"/>
      <c r="I19" s="1699"/>
      <c r="J19" s="399" t="s">
        <v>293</v>
      </c>
      <c r="T19" s="1790"/>
      <c r="U19" s="1699"/>
      <c r="V19" s="1699"/>
      <c r="W19" s="1699"/>
      <c r="X19" s="1699"/>
      <c r="Z19" s="401"/>
    </row>
    <row r="20" spans="1:26" x14ac:dyDescent="0.3">
      <c r="A20" s="398"/>
      <c r="Z20" s="401"/>
    </row>
    <row r="21" spans="1:26" x14ac:dyDescent="0.3">
      <c r="A21" s="398"/>
      <c r="B21" s="718" t="s">
        <v>296</v>
      </c>
      <c r="C21" s="399" t="s">
        <v>297</v>
      </c>
      <c r="H21" s="1791"/>
      <c r="I21" s="1699"/>
      <c r="J21" s="1699"/>
      <c r="K21" s="1699"/>
      <c r="M21" s="399" t="s">
        <v>298</v>
      </c>
      <c r="Q21" s="1795"/>
      <c r="R21" s="1699"/>
      <c r="S21" s="1699"/>
      <c r="T21" s="399" t="s">
        <v>299</v>
      </c>
      <c r="Z21" s="401"/>
    </row>
    <row r="22" spans="1:26" x14ac:dyDescent="0.3">
      <c r="A22" s="398"/>
      <c r="C22" s="399" t="s">
        <v>301</v>
      </c>
      <c r="H22" s="405"/>
      <c r="I22" s="405"/>
      <c r="J22" s="405"/>
      <c r="K22" s="405"/>
      <c r="L22" s="405"/>
      <c r="M22" s="405"/>
      <c r="N22" s="405"/>
      <c r="O22" s="405"/>
      <c r="P22" s="405"/>
      <c r="Q22" s="405"/>
      <c r="R22" s="405"/>
      <c r="S22" s="405"/>
      <c r="T22" s="405"/>
      <c r="U22" s="405"/>
      <c r="V22" s="405"/>
      <c r="W22" s="405"/>
      <c r="Z22" s="401"/>
    </row>
    <row r="23" spans="1:26" x14ac:dyDescent="0.3">
      <c r="A23" s="398"/>
      <c r="C23" s="405"/>
      <c r="D23" s="405"/>
      <c r="E23" s="405"/>
      <c r="F23" s="405"/>
      <c r="G23" s="405"/>
      <c r="H23" s="405"/>
      <c r="I23" s="405"/>
      <c r="J23" s="405"/>
      <c r="K23" s="405"/>
      <c r="L23" s="405"/>
      <c r="M23" s="405"/>
      <c r="N23" s="405"/>
      <c r="O23" s="405"/>
      <c r="P23" s="405"/>
      <c r="Q23" s="405"/>
      <c r="R23" s="405"/>
      <c r="S23" s="405"/>
      <c r="T23" s="405"/>
      <c r="U23" s="405"/>
      <c r="V23" s="405"/>
      <c r="W23" s="405"/>
      <c r="Z23" s="401"/>
    </row>
    <row r="24" spans="1:26" x14ac:dyDescent="0.3">
      <c r="A24" s="398"/>
      <c r="V24" s="1788"/>
      <c r="W24" s="1697"/>
      <c r="X24" s="1697"/>
      <c r="Y24" s="1697"/>
      <c r="Z24" s="1789"/>
    </row>
    <row r="25" spans="1:26" x14ac:dyDescent="0.3">
      <c r="A25" s="398"/>
      <c r="Z25" s="401"/>
    </row>
    <row r="26" spans="1:26" ht="17.399999999999999" customHeight="1" x14ac:dyDescent="0.35">
      <c r="A26" s="398"/>
      <c r="B26" s="406" t="s">
        <v>303</v>
      </c>
      <c r="C26" s="399" t="s">
        <v>304</v>
      </c>
      <c r="Z26" s="401"/>
    </row>
    <row r="27" spans="1:26" x14ac:dyDescent="0.3">
      <c r="A27" s="398"/>
      <c r="C27" s="1801" t="s">
        <v>306</v>
      </c>
      <c r="D27" s="1697"/>
      <c r="E27" s="1697"/>
      <c r="F27" s="407" t="s">
        <v>307</v>
      </c>
      <c r="Z27" s="401"/>
    </row>
    <row r="28" spans="1:26" x14ac:dyDescent="0.3">
      <c r="A28" s="398"/>
      <c r="C28" s="1795"/>
      <c r="D28" s="1699"/>
      <c r="E28" s="1699"/>
      <c r="F28" s="399" t="s">
        <v>308</v>
      </c>
      <c r="O28" s="408" t="s">
        <v>309</v>
      </c>
      <c r="Z28" s="401"/>
    </row>
    <row r="29" spans="1:26" x14ac:dyDescent="0.3">
      <c r="A29" s="398"/>
      <c r="C29" s="1799"/>
      <c r="D29" s="1693"/>
      <c r="E29" s="1693"/>
      <c r="F29" s="399" t="s">
        <v>311</v>
      </c>
      <c r="O29" s="1795"/>
      <c r="P29" s="1699"/>
      <c r="Q29" s="1699"/>
      <c r="R29" s="399" t="s">
        <v>312</v>
      </c>
      <c r="Z29" s="401"/>
    </row>
    <row r="30" spans="1:26" x14ac:dyDescent="0.3">
      <c r="A30" s="398"/>
      <c r="C30" s="1799"/>
      <c r="D30" s="1693"/>
      <c r="E30" s="1693"/>
      <c r="F30" s="399" t="s">
        <v>313</v>
      </c>
      <c r="O30" s="1799"/>
      <c r="P30" s="1693"/>
      <c r="Q30" s="1693"/>
      <c r="R30" s="399" t="s">
        <v>314</v>
      </c>
      <c r="Z30" s="401"/>
    </row>
    <row r="31" spans="1:26" x14ac:dyDescent="0.3">
      <c r="A31" s="398"/>
      <c r="C31" s="1799"/>
      <c r="D31" s="1693"/>
      <c r="E31" s="1693"/>
      <c r="F31" s="399" t="s">
        <v>316</v>
      </c>
      <c r="Z31" s="401"/>
    </row>
    <row r="32" spans="1:26" x14ac:dyDescent="0.3">
      <c r="A32" s="398"/>
      <c r="C32" s="1799"/>
      <c r="D32" s="1693"/>
      <c r="E32" s="1693"/>
      <c r="F32" s="399" t="s">
        <v>317</v>
      </c>
      <c r="N32" s="409" t="s">
        <v>318</v>
      </c>
      <c r="O32" s="409"/>
      <c r="P32" s="409"/>
      <c r="Q32" s="409"/>
      <c r="R32" s="409"/>
      <c r="S32" s="409"/>
      <c r="T32" s="409"/>
      <c r="U32" s="409"/>
      <c r="V32" s="409"/>
      <c r="W32" s="409"/>
      <c r="Z32" s="401"/>
    </row>
    <row r="33" spans="1:26" x14ac:dyDescent="0.3">
      <c r="A33" s="398"/>
      <c r="C33" s="1803">
        <v>0</v>
      </c>
      <c r="D33" s="1697"/>
      <c r="E33" s="1697"/>
      <c r="F33" s="410" t="s">
        <v>320</v>
      </c>
      <c r="N33" s="1804"/>
      <c r="O33" s="1699"/>
      <c r="P33" s="409" t="s">
        <v>321</v>
      </c>
      <c r="Q33" s="409"/>
      <c r="R33" s="409"/>
      <c r="S33" s="409"/>
      <c r="T33" s="409"/>
      <c r="U33" s="411"/>
      <c r="V33" s="409" t="s">
        <v>322</v>
      </c>
      <c r="W33" s="409"/>
      <c r="Z33" s="401"/>
    </row>
    <row r="34" spans="1:26" x14ac:dyDescent="0.3">
      <c r="A34" s="398"/>
      <c r="N34" s="409"/>
      <c r="O34" s="409"/>
      <c r="P34" s="409"/>
      <c r="Q34" s="409"/>
      <c r="R34" s="409"/>
      <c r="S34" s="409"/>
      <c r="T34" s="409"/>
      <c r="U34" s="412"/>
      <c r="V34" s="409" t="s">
        <v>323</v>
      </c>
      <c r="W34" s="409"/>
      <c r="Z34" s="401"/>
    </row>
    <row r="35" spans="1:26" x14ac:dyDescent="0.3">
      <c r="A35" s="398"/>
      <c r="Z35" s="401"/>
    </row>
    <row r="36" spans="1:26" x14ac:dyDescent="0.3">
      <c r="A36" s="398"/>
      <c r="B36" s="409" t="s">
        <v>325</v>
      </c>
      <c r="N36" s="413"/>
      <c r="O36" s="413"/>
      <c r="P36" s="413"/>
      <c r="Q36" s="413"/>
      <c r="R36" s="413"/>
      <c r="S36" s="413"/>
      <c r="T36" s="413"/>
      <c r="U36" s="413"/>
      <c r="V36" s="413"/>
      <c r="W36" s="413"/>
      <c r="X36" s="413"/>
      <c r="Z36" s="401"/>
    </row>
    <row r="37" spans="1:26" x14ac:dyDescent="0.3">
      <c r="A37" s="398"/>
      <c r="B37" s="414"/>
      <c r="C37" s="413"/>
      <c r="D37" s="413"/>
      <c r="E37" s="413"/>
      <c r="F37" s="413"/>
      <c r="G37" s="413"/>
      <c r="H37" s="413"/>
      <c r="I37" s="413"/>
      <c r="J37" s="413"/>
      <c r="K37" s="413"/>
      <c r="L37" s="413"/>
      <c r="M37" s="413"/>
      <c r="N37" s="413"/>
      <c r="O37" s="413"/>
      <c r="P37" s="413"/>
      <c r="Q37" s="413"/>
      <c r="R37" s="413"/>
      <c r="S37" s="413"/>
      <c r="T37" s="413"/>
      <c r="U37" s="413"/>
      <c r="V37" s="413"/>
      <c r="W37" s="413"/>
      <c r="X37" s="413"/>
      <c r="Z37" s="401"/>
    </row>
    <row r="38" spans="1:26" x14ac:dyDescent="0.3">
      <c r="A38" s="398"/>
      <c r="Z38" s="401"/>
    </row>
    <row r="39" spans="1:26" ht="17.399999999999999" customHeight="1" x14ac:dyDescent="0.35">
      <c r="A39" s="398"/>
      <c r="B39" s="406" t="s">
        <v>303</v>
      </c>
      <c r="C39" s="399" t="s">
        <v>331</v>
      </c>
      <c r="Z39" s="401"/>
    </row>
    <row r="40" spans="1:26" x14ac:dyDescent="0.3">
      <c r="A40" s="398"/>
      <c r="D40" s="1802" t="s">
        <v>332</v>
      </c>
      <c r="E40" s="1697"/>
      <c r="F40" s="1697"/>
      <c r="G40" s="1697"/>
      <c r="H40" s="415" t="s">
        <v>333</v>
      </c>
      <c r="Q40" s="415" t="s">
        <v>334</v>
      </c>
      <c r="Z40" s="401"/>
    </row>
    <row r="41" spans="1:26" x14ac:dyDescent="0.3">
      <c r="A41" s="398"/>
      <c r="D41" s="1791">
        <v>0</v>
      </c>
      <c r="E41" s="1699"/>
      <c r="F41" s="1699"/>
      <c r="G41" s="1699"/>
      <c r="H41" s="1791">
        <v>0</v>
      </c>
      <c r="I41" s="1699"/>
      <c r="J41" s="1699"/>
      <c r="K41" s="1699"/>
      <c r="L41" s="1699"/>
      <c r="M41" s="1699"/>
      <c r="N41" s="1699"/>
      <c r="O41" s="1699"/>
      <c r="P41" s="1800"/>
      <c r="Q41" s="1699"/>
      <c r="R41" s="1699"/>
      <c r="S41" s="1699"/>
      <c r="Z41" s="401"/>
    </row>
    <row r="42" spans="1:26" x14ac:dyDescent="0.3">
      <c r="A42" s="398"/>
      <c r="D42" s="1805">
        <v>0</v>
      </c>
      <c r="E42" s="1693"/>
      <c r="F42" s="1693"/>
      <c r="G42" s="1693"/>
      <c r="H42" s="1791">
        <v>0</v>
      </c>
      <c r="I42" s="1699"/>
      <c r="J42" s="1699"/>
      <c r="K42" s="1699"/>
      <c r="L42" s="1699"/>
      <c r="M42" s="1699"/>
      <c r="N42" s="1699"/>
      <c r="O42" s="1699"/>
      <c r="P42" s="1800"/>
      <c r="Q42" s="1699"/>
      <c r="R42" s="1699"/>
      <c r="S42" s="1699"/>
      <c r="Z42" s="401"/>
    </row>
    <row r="43" spans="1:26" x14ac:dyDescent="0.3">
      <c r="A43" s="398"/>
      <c r="D43" s="1805">
        <v>0</v>
      </c>
      <c r="E43" s="1693"/>
      <c r="F43" s="1693"/>
      <c r="G43" s="1693"/>
      <c r="H43" s="1791">
        <v>0</v>
      </c>
      <c r="I43" s="1699"/>
      <c r="J43" s="1699"/>
      <c r="K43" s="1699"/>
      <c r="L43" s="1699"/>
      <c r="M43" s="1699"/>
      <c r="N43" s="1699"/>
      <c r="O43" s="1699"/>
      <c r="P43" s="1800"/>
      <c r="Q43" s="1699"/>
      <c r="R43" s="1699"/>
      <c r="S43" s="1699"/>
      <c r="Z43" s="401"/>
    </row>
    <row r="44" spans="1:26" x14ac:dyDescent="0.3">
      <c r="A44" s="398"/>
      <c r="D44" s="1805">
        <v>0</v>
      </c>
      <c r="E44" s="1693"/>
      <c r="F44" s="1693"/>
      <c r="G44" s="1693"/>
      <c r="H44" s="1791">
        <v>0</v>
      </c>
      <c r="I44" s="1699"/>
      <c r="J44" s="1699"/>
      <c r="K44" s="1699"/>
      <c r="L44" s="1699"/>
      <c r="M44" s="1699"/>
      <c r="N44" s="1699"/>
      <c r="O44" s="1699"/>
      <c r="P44" s="1800"/>
      <c r="Q44" s="1699"/>
      <c r="R44" s="1699"/>
      <c r="S44" s="1699"/>
      <c r="Z44" s="401"/>
    </row>
    <row r="45" spans="1:26" x14ac:dyDescent="0.3">
      <c r="A45" s="398"/>
      <c r="Z45" s="401"/>
    </row>
    <row r="46" spans="1:26" x14ac:dyDescent="0.3">
      <c r="A46" s="398"/>
      <c r="Q46" s="399" t="s">
        <v>336</v>
      </c>
      <c r="Z46" s="401"/>
    </row>
    <row r="47" spans="1:26" x14ac:dyDescent="0.3">
      <c r="A47" s="398"/>
      <c r="Z47" s="401"/>
    </row>
    <row r="48" spans="1:26" x14ac:dyDescent="0.3">
      <c r="A48" s="398"/>
      <c r="P48" s="403" t="s">
        <v>338</v>
      </c>
      <c r="Z48" s="401"/>
    </row>
    <row r="49" spans="1:26" ht="16.2" customHeight="1" thickBot="1" x14ac:dyDescent="0.35">
      <c r="A49" s="416"/>
      <c r="B49" s="417"/>
      <c r="C49" s="417"/>
      <c r="D49" s="417"/>
      <c r="E49" s="417"/>
      <c r="F49" s="417"/>
      <c r="G49" s="417"/>
      <c r="H49" s="417"/>
      <c r="I49" s="417"/>
      <c r="J49" s="417"/>
      <c r="K49" s="417"/>
      <c r="L49" s="417"/>
      <c r="M49" s="417"/>
      <c r="N49" s="417"/>
      <c r="O49" s="417"/>
      <c r="P49" s="417"/>
      <c r="Q49" s="417"/>
      <c r="R49" s="417"/>
      <c r="S49" s="417"/>
      <c r="T49" s="417"/>
      <c r="U49" s="417"/>
      <c r="V49" s="417"/>
      <c r="W49" s="417"/>
      <c r="X49" s="417"/>
      <c r="Y49" s="417"/>
      <c r="Z49" s="418"/>
    </row>
  </sheetData>
  <sheetProtection password="CE1C" sheet="1" objects="1" scenarios="1"/>
  <mergeCells count="39">
    <mergeCell ref="D44:G44"/>
    <mergeCell ref="H44:O44"/>
    <mergeCell ref="P44:S44"/>
    <mergeCell ref="P41:S41"/>
    <mergeCell ref="D42:G42"/>
    <mergeCell ref="H42:O42"/>
    <mergeCell ref="D43:G43"/>
    <mergeCell ref="H43:O43"/>
    <mergeCell ref="P43:S43"/>
    <mergeCell ref="D41:G41"/>
    <mergeCell ref="H41:O41"/>
    <mergeCell ref="C31:E31"/>
    <mergeCell ref="P42:S42"/>
    <mergeCell ref="C30:E30"/>
    <mergeCell ref="O30:Q30"/>
    <mergeCell ref="F14:H14"/>
    <mergeCell ref="D17:F17"/>
    <mergeCell ref="C32:E32"/>
    <mergeCell ref="C27:E27"/>
    <mergeCell ref="C28:E28"/>
    <mergeCell ref="G19:I19"/>
    <mergeCell ref="Q21:S21"/>
    <mergeCell ref="C29:E29"/>
    <mergeCell ref="D40:G40"/>
    <mergeCell ref="C33:E33"/>
    <mergeCell ref="N33:O33"/>
    <mergeCell ref="O29:Q29"/>
    <mergeCell ref="V24:Z24"/>
    <mergeCell ref="T19:X19"/>
    <mergeCell ref="H21:K21"/>
    <mergeCell ref="U2:X2"/>
    <mergeCell ref="F4:N4"/>
    <mergeCell ref="V4:X4"/>
    <mergeCell ref="I10:J10"/>
    <mergeCell ref="N17:P17"/>
    <mergeCell ref="I12:J12"/>
    <mergeCell ref="P12:Q12"/>
    <mergeCell ref="V12:Z12"/>
    <mergeCell ref="I11:J11"/>
  </mergeCells>
  <printOptions horizontalCentered="1" verticalCentered="1"/>
  <pageMargins left="0.31496062992125978" right="0.31496062992125978" top="0.55118110236220474" bottom="0.55118110236220474" header="0.31496062992125978" footer="0.31496062992125978"/>
  <pageSetup paperSize="9" scale="98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BB6DDE-EA1B-4489-85D6-29D24B90047C}">
  <sheetPr>
    <pageSetUpPr fitToPage="1"/>
  </sheetPr>
  <dimension ref="B1:AB159"/>
  <sheetViews>
    <sheetView showGridLines="0" zoomScaleNormal="100" workbookViewId="0">
      <pane ySplit="2" topLeftCell="A3" activePane="bottomLeft" state="frozen"/>
      <selection activeCell="B15" sqref="B15:F16"/>
      <selection pane="bottomLeft" activeCell="C37" sqref="C37"/>
    </sheetView>
  </sheetViews>
  <sheetFormatPr baseColWidth="10" defaultColWidth="11.44140625" defaultRowHeight="13.2" x14ac:dyDescent="0.25"/>
  <cols>
    <col min="1" max="1" width="2.5546875" style="261" customWidth="1"/>
    <col min="2" max="2" width="41.77734375" style="261" customWidth="1"/>
    <col min="3" max="3" width="8.6640625" style="261" bestFit="1" customWidth="1"/>
    <col min="4" max="4" width="11.109375" style="261" customWidth="1"/>
    <col min="5" max="5" width="11.44140625" style="261" customWidth="1"/>
    <col min="6" max="6" width="8.6640625" style="261" customWidth="1"/>
    <col min="7" max="7" width="15.6640625" style="261" customWidth="1"/>
    <col min="8" max="8" width="8.6640625" style="690" bestFit="1" customWidth="1"/>
    <col min="9" max="9" width="7.6640625" style="690" customWidth="1"/>
    <col min="10" max="22" width="9" style="690" customWidth="1"/>
    <col min="23" max="28" width="9" style="261" customWidth="1"/>
    <col min="29" max="31" width="11.44140625" style="261" customWidth="1"/>
    <col min="32" max="16384" width="11.44140625" style="261"/>
  </cols>
  <sheetData>
    <row r="1" spans="2:28" ht="12.75" customHeight="1" x14ac:dyDescent="0.25">
      <c r="B1" s="1806" t="s">
        <v>1236</v>
      </c>
      <c r="C1" s="1807"/>
      <c r="D1" s="1807"/>
      <c r="E1" s="1807"/>
      <c r="F1" s="1807"/>
      <c r="G1" s="1807"/>
      <c r="H1" s="1807"/>
    </row>
    <row r="2" spans="2:28" ht="12.75" customHeight="1" x14ac:dyDescent="0.25">
      <c r="B2" s="1806"/>
      <c r="C2" s="1807"/>
      <c r="D2" s="1807"/>
      <c r="E2" s="1807"/>
      <c r="F2" s="1807"/>
      <c r="G2" s="1807"/>
      <c r="H2" s="1807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</row>
    <row r="3" spans="2:28" ht="12.75" customHeight="1" x14ac:dyDescent="0.25">
      <c r="B3" s="114"/>
      <c r="C3" s="114"/>
      <c r="D3" s="114"/>
      <c r="E3" s="114"/>
      <c r="F3" s="114"/>
      <c r="I3" s="244"/>
      <c r="J3" s="244"/>
      <c r="K3" s="452" t="s">
        <v>205</v>
      </c>
      <c r="L3" s="452" t="s">
        <v>206</v>
      </c>
      <c r="M3" s="452" t="s">
        <v>207</v>
      </c>
      <c r="N3" s="452" t="s">
        <v>208</v>
      </c>
      <c r="O3" s="452" t="s">
        <v>209</v>
      </c>
      <c r="P3" s="452" t="s">
        <v>210</v>
      </c>
      <c r="Q3" s="452" t="s">
        <v>211</v>
      </c>
      <c r="R3" s="452" t="s">
        <v>212</v>
      </c>
      <c r="S3" s="452" t="s">
        <v>213</v>
      </c>
      <c r="T3" s="452" t="s">
        <v>214</v>
      </c>
      <c r="U3" s="452" t="s">
        <v>215</v>
      </c>
      <c r="V3" s="452" t="s">
        <v>216</v>
      </c>
    </row>
    <row r="4" spans="2:28" ht="12.75" customHeight="1" x14ac:dyDescent="0.25">
      <c r="B4" s="114"/>
      <c r="C4" s="114"/>
      <c r="D4" s="114"/>
      <c r="E4" s="114"/>
      <c r="F4" s="114"/>
      <c r="I4" s="244"/>
      <c r="J4" s="244"/>
      <c r="K4" s="692"/>
      <c r="L4" s="692"/>
      <c r="M4" s="692"/>
      <c r="N4" s="692"/>
      <c r="O4" s="692"/>
      <c r="P4" s="692"/>
      <c r="Q4" s="692"/>
      <c r="R4" s="692"/>
      <c r="S4" s="692"/>
      <c r="T4" s="692"/>
      <c r="U4" s="244"/>
      <c r="V4" s="244"/>
    </row>
    <row r="5" spans="2:28" ht="13.95" customHeight="1" x14ac:dyDescent="0.25">
      <c r="B5" s="123" t="s">
        <v>64</v>
      </c>
      <c r="C5" s="124"/>
      <c r="D5" s="796">
        <f>RESUMEN!J4</f>
        <v>28500</v>
      </c>
      <c r="E5" s="125" t="s">
        <v>65</v>
      </c>
      <c r="G5" s="453" t="s">
        <v>186</v>
      </c>
      <c r="H5" s="261"/>
      <c r="K5" s="692"/>
      <c r="L5" s="692"/>
      <c r="M5" s="692"/>
      <c r="N5" s="692"/>
      <c r="O5" s="692"/>
      <c r="P5" s="692"/>
      <c r="Q5" s="692"/>
      <c r="R5" s="692"/>
      <c r="S5" s="692"/>
      <c r="T5" s="692"/>
      <c r="U5" s="244"/>
      <c r="V5" s="244"/>
    </row>
    <row r="6" spans="2:28" ht="13.95" customHeight="1" thickBot="1" x14ac:dyDescent="0.3">
      <c r="G6" s="454">
        <f>+RESUMEN!Q15</f>
        <v>1500</v>
      </c>
      <c r="H6" s="129" t="s">
        <v>187</v>
      </c>
      <c r="I6" s="261"/>
      <c r="J6" s="261"/>
      <c r="K6" s="692"/>
      <c r="L6" s="691"/>
      <c r="M6" s="691"/>
      <c r="N6" s="691"/>
      <c r="O6" s="691"/>
      <c r="P6" s="691"/>
      <c r="Q6" s="691"/>
      <c r="R6" s="691"/>
      <c r="S6" s="691"/>
      <c r="T6" s="691"/>
    </row>
    <row r="7" spans="2:28" ht="17.399999999999999" customHeight="1" thickBot="1" x14ac:dyDescent="0.3">
      <c r="B7" s="1685" t="s">
        <v>68</v>
      </c>
      <c r="C7" s="1686"/>
      <c r="D7" s="1687"/>
      <c r="H7" s="261"/>
      <c r="I7" s="261"/>
      <c r="J7" s="261"/>
      <c r="K7" s="691"/>
      <c r="L7" s="450"/>
      <c r="M7" s="450"/>
      <c r="N7" s="450"/>
      <c r="O7" s="450"/>
      <c r="P7" s="450"/>
      <c r="Q7" s="450"/>
      <c r="R7" s="450"/>
      <c r="S7" s="450"/>
      <c r="T7" s="450"/>
      <c r="U7" s="112"/>
      <c r="V7" s="112"/>
    </row>
    <row r="8" spans="2:28" x14ac:dyDescent="0.25">
      <c r="B8" s="187" t="s">
        <v>70</v>
      </c>
      <c r="C8" s="133"/>
      <c r="D8" s="133">
        <f>+RESUMEN!$Q$14</f>
        <v>3400</v>
      </c>
      <c r="E8" s="134" t="s">
        <v>65</v>
      </c>
      <c r="H8" s="261"/>
      <c r="I8" s="261"/>
      <c r="J8" s="261"/>
      <c r="K8" s="691"/>
      <c r="L8" s="691"/>
      <c r="M8" s="691"/>
      <c r="N8" s="691"/>
      <c r="O8" s="691"/>
      <c r="P8" s="691"/>
      <c r="Q8" s="691"/>
      <c r="R8" s="691"/>
      <c r="S8" s="691"/>
      <c r="T8" s="691"/>
    </row>
    <row r="9" spans="2:28" x14ac:dyDescent="0.25">
      <c r="B9" s="187" t="s">
        <v>71</v>
      </c>
      <c r="C9" s="136"/>
      <c r="D9" s="1656">
        <v>2.1000000000000001E-2</v>
      </c>
      <c r="E9" s="232" t="s">
        <v>72</v>
      </c>
      <c r="H9" s="261"/>
      <c r="I9" s="261"/>
      <c r="J9" s="261"/>
      <c r="K9" s="691"/>
      <c r="L9" s="692"/>
      <c r="M9" s="692"/>
      <c r="N9" s="692"/>
      <c r="O9" s="692"/>
      <c r="P9" s="692"/>
      <c r="Q9" s="692"/>
      <c r="R9" s="692"/>
      <c r="S9" s="692"/>
      <c r="T9" s="692"/>
      <c r="U9" s="244"/>
      <c r="V9" s="244"/>
    </row>
    <row r="10" spans="2:28" x14ac:dyDescent="0.25">
      <c r="B10" s="137" t="s">
        <v>73</v>
      </c>
      <c r="C10" s="138"/>
      <c r="D10" s="138">
        <f>+D5*(1-D9)-D8</f>
        <v>24501.5</v>
      </c>
      <c r="E10" s="134" t="s">
        <v>65</v>
      </c>
      <c r="I10" s="244"/>
      <c r="J10" s="244"/>
      <c r="K10" s="692"/>
      <c r="L10" s="692"/>
      <c r="M10" s="692"/>
      <c r="N10" s="692"/>
      <c r="O10" s="692"/>
      <c r="P10" s="692"/>
      <c r="Q10" s="692"/>
      <c r="R10" s="692"/>
      <c r="S10" s="692"/>
      <c r="T10" s="692"/>
      <c r="U10" s="244"/>
      <c r="V10" s="244"/>
    </row>
    <row r="11" spans="2:28" x14ac:dyDescent="0.25">
      <c r="B11" s="215"/>
      <c r="C11" s="230"/>
      <c r="D11" s="230"/>
      <c r="E11" s="135"/>
      <c r="I11" s="244"/>
      <c r="J11" s="244"/>
      <c r="K11" s="692"/>
      <c r="L11" s="692"/>
      <c r="M11" s="692"/>
      <c r="N11" s="692"/>
      <c r="O11" s="692"/>
      <c r="P11" s="692"/>
      <c r="Q11" s="692"/>
      <c r="R11" s="692"/>
      <c r="S11" s="692"/>
      <c r="T11" s="692"/>
      <c r="U11" s="244"/>
      <c r="V11" s="244"/>
    </row>
    <row r="12" spans="2:28" ht="13.95" customHeight="1" thickBot="1" x14ac:dyDescent="0.3">
      <c r="I12" s="244"/>
      <c r="J12" s="244"/>
      <c r="K12" s="692"/>
      <c r="L12" s="692"/>
      <c r="M12" s="692"/>
      <c r="N12" s="692"/>
      <c r="O12" s="692"/>
      <c r="P12" s="692"/>
      <c r="Q12" s="692"/>
      <c r="R12" s="692"/>
      <c r="S12" s="692"/>
      <c r="T12" s="692"/>
      <c r="U12" s="244"/>
      <c r="V12" s="244"/>
    </row>
    <row r="13" spans="2:28" ht="17.399999999999999" customHeight="1" thickBot="1" x14ac:dyDescent="0.3">
      <c r="B13" s="1189" t="s">
        <v>148</v>
      </c>
      <c r="C13" s="1190"/>
      <c r="D13" s="1191"/>
      <c r="E13" s="141" t="s">
        <v>149</v>
      </c>
      <c r="F13" s="142"/>
      <c r="G13" s="320" t="s">
        <v>76</v>
      </c>
      <c r="H13" s="146" t="s">
        <v>77</v>
      </c>
      <c r="I13" s="244"/>
      <c r="J13" s="244"/>
      <c r="K13" s="692"/>
      <c r="L13" s="692"/>
      <c r="M13" s="692"/>
      <c r="N13" s="692"/>
      <c r="O13" s="692"/>
      <c r="P13" s="692"/>
      <c r="Q13" s="692"/>
      <c r="R13" s="692"/>
      <c r="S13" s="692"/>
      <c r="T13" s="692"/>
      <c r="U13" s="244"/>
      <c r="V13" s="244"/>
    </row>
    <row r="14" spans="2:28" ht="13.95" customHeight="1" thickBot="1" x14ac:dyDescent="0.3">
      <c r="B14" s="1196" t="s">
        <v>78</v>
      </c>
      <c r="C14" s="1742" t="s">
        <v>150</v>
      </c>
      <c r="D14" s="1743"/>
      <c r="E14" s="149" t="s">
        <v>188</v>
      </c>
      <c r="F14" s="150" t="s">
        <v>82</v>
      </c>
      <c r="G14" s="322" t="s">
        <v>188</v>
      </c>
      <c r="H14" s="324" t="s">
        <v>188</v>
      </c>
      <c r="I14" s="244"/>
      <c r="J14" s="244"/>
      <c r="K14" s="692"/>
      <c r="L14" s="692"/>
      <c r="M14" s="692"/>
      <c r="N14" s="692"/>
      <c r="O14" s="692"/>
      <c r="P14" s="692"/>
      <c r="Q14" s="692"/>
      <c r="R14" s="692"/>
      <c r="S14" s="692"/>
      <c r="T14" s="692"/>
      <c r="U14" s="244"/>
      <c r="V14" s="244"/>
    </row>
    <row r="15" spans="2:28" x14ac:dyDescent="0.25">
      <c r="B15" s="1653" t="s">
        <v>1095</v>
      </c>
      <c r="C15" s="1520">
        <v>1.2</v>
      </c>
      <c r="D15" s="1364" t="str">
        <f>IFERROR(INDEX(Valores!E:E,MATCH(B15,Valores!C:C,0),1),"")</f>
        <v>Lts/Ha.</v>
      </c>
      <c r="E15" s="1365">
        <f>SUMIF(Valores!C:C,B15,Valores!F:F)</f>
        <v>3.5</v>
      </c>
      <c r="F15" s="1366" t="str">
        <f>IFERROR(INDEX(Valores!G:G,MATCH(B15,Valores!C:C,0),1),"")</f>
        <v>U$S/Lts.</v>
      </c>
      <c r="G15" s="855">
        <f t="shared" ref="G15:G19" si="0">+E15*C15*$G$6</f>
        <v>6300</v>
      </c>
      <c r="H15" s="856">
        <f t="shared" ref="H15:H19" si="1">G15/$D$10</f>
        <v>0.257127114666449</v>
      </c>
      <c r="K15" s="691"/>
      <c r="L15" s="691"/>
      <c r="M15" s="691"/>
      <c r="N15" s="691"/>
      <c r="O15" s="691"/>
      <c r="P15" s="691"/>
      <c r="Q15" s="691"/>
      <c r="R15" s="691"/>
      <c r="S15" s="691"/>
      <c r="T15" s="691"/>
    </row>
    <row r="16" spans="2:28" x14ac:dyDescent="0.25">
      <c r="B16" s="1654"/>
      <c r="C16" s="1521"/>
      <c r="D16" s="1364" t="str">
        <f>IFERROR(INDEX(Valores!E:E,MATCH(B16,Valores!C:C,0),1),"")</f>
        <v/>
      </c>
      <c r="E16" s="1365">
        <f>SUMIF(Valores!C:C,B16,Valores!F:F)</f>
        <v>0</v>
      </c>
      <c r="F16" s="1366" t="str">
        <f>IFERROR(INDEX(Valores!G:G,MATCH(B16,Valores!C:C,0),1),"")</f>
        <v/>
      </c>
      <c r="G16" s="811">
        <f t="shared" si="0"/>
        <v>0</v>
      </c>
      <c r="H16" s="798">
        <f t="shared" si="1"/>
        <v>0</v>
      </c>
      <c r="J16" s="421"/>
      <c r="K16" s="691"/>
      <c r="L16" s="691"/>
      <c r="M16" s="692"/>
      <c r="N16" s="692"/>
      <c r="O16" s="692"/>
      <c r="P16" s="692"/>
      <c r="Q16" s="692"/>
      <c r="R16" s="692"/>
      <c r="S16" s="692"/>
      <c r="T16" s="692"/>
      <c r="U16" s="244"/>
      <c r="V16" s="244"/>
      <c r="W16" s="244"/>
      <c r="X16" s="244"/>
      <c r="Y16" s="244"/>
      <c r="Z16" s="244"/>
      <c r="AA16" s="244"/>
      <c r="AB16" s="244"/>
    </row>
    <row r="17" spans="2:28" x14ac:dyDescent="0.25">
      <c r="B17" s="1654"/>
      <c r="C17" s="1521"/>
      <c r="D17" s="1364" t="str">
        <f>IFERROR(INDEX(Valores!E:E,MATCH(B17,Valores!C:C,0),1),"")</f>
        <v/>
      </c>
      <c r="E17" s="1365">
        <f>SUMIF(Valores!C:C,B17,Valores!F:F)</f>
        <v>0</v>
      </c>
      <c r="F17" s="1366" t="str">
        <f>IFERROR(INDEX(Valores!G:G,MATCH(B17,Valores!C:C,0),1),"")</f>
        <v/>
      </c>
      <c r="G17" s="811">
        <f>+E17*C17*$G$6</f>
        <v>0</v>
      </c>
      <c r="H17" s="798">
        <f>G17/$D$10</f>
        <v>0</v>
      </c>
      <c r="K17" s="691"/>
      <c r="L17" s="691"/>
      <c r="M17" s="692"/>
      <c r="N17" s="692"/>
      <c r="O17" s="692"/>
      <c r="P17" s="692"/>
      <c r="Q17" s="692"/>
      <c r="R17" s="692"/>
      <c r="S17" s="692"/>
      <c r="T17" s="692"/>
      <c r="U17" s="244"/>
      <c r="V17" s="244"/>
      <c r="W17" s="244"/>
      <c r="X17" s="244"/>
      <c r="Y17" s="244"/>
      <c r="Z17" s="244"/>
      <c r="AA17" s="244"/>
      <c r="AB17" s="244"/>
    </row>
    <row r="18" spans="2:28" x14ac:dyDescent="0.25">
      <c r="B18" s="1654"/>
      <c r="C18" s="1521"/>
      <c r="D18" s="1364" t="str">
        <f>IFERROR(INDEX(Valores!E:E,MATCH(B18,Valores!C:C,0),1),"")</f>
        <v/>
      </c>
      <c r="E18" s="1365">
        <f>SUMIF(Valores!C:C,B18,Valores!F:F)</f>
        <v>0</v>
      </c>
      <c r="F18" s="1366" t="str">
        <f>IFERROR(INDEX(Valores!G:G,MATCH(B18,Valores!C:C,0),1),"")</f>
        <v/>
      </c>
      <c r="G18" s="811">
        <f>+E18*C18*$G$6</f>
        <v>0</v>
      </c>
      <c r="H18" s="798">
        <f>G18/$D$10</f>
        <v>0</v>
      </c>
      <c r="K18" s="691"/>
      <c r="L18" s="691"/>
      <c r="M18" s="692"/>
      <c r="N18" s="692"/>
      <c r="O18" s="692"/>
      <c r="P18" s="692"/>
      <c r="Q18" s="692"/>
      <c r="R18" s="692"/>
      <c r="S18" s="692"/>
      <c r="T18" s="692"/>
      <c r="U18" s="244"/>
      <c r="V18" s="244"/>
      <c r="W18" s="244"/>
      <c r="X18" s="244"/>
      <c r="Y18" s="244"/>
      <c r="Z18" s="244"/>
      <c r="AA18" s="244"/>
      <c r="AB18" s="244"/>
    </row>
    <row r="19" spans="2:28" x14ac:dyDescent="0.25">
      <c r="B19" s="1654"/>
      <c r="C19" s="1521"/>
      <c r="D19" s="1364" t="str">
        <f>IFERROR(INDEX(Valores!E:E,MATCH(B19,Valores!C:C,0),1),"")</f>
        <v/>
      </c>
      <c r="E19" s="1365">
        <f>SUMIF(Valores!C:C,B19,Valores!F:F)</f>
        <v>0</v>
      </c>
      <c r="F19" s="1366" t="str">
        <f>IFERROR(INDEX(Valores!G:G,MATCH(B19,Valores!C:C,0),1),"")</f>
        <v/>
      </c>
      <c r="G19" s="811">
        <f t="shared" si="0"/>
        <v>0</v>
      </c>
      <c r="H19" s="798">
        <f t="shared" si="1"/>
        <v>0</v>
      </c>
      <c r="J19" s="421"/>
      <c r="K19" s="691"/>
      <c r="L19" s="691"/>
      <c r="M19" s="692"/>
      <c r="N19" s="692"/>
      <c r="O19" s="692"/>
      <c r="P19" s="692"/>
      <c r="Q19" s="692"/>
      <c r="R19" s="692"/>
      <c r="S19" s="692"/>
      <c r="T19" s="692"/>
      <c r="U19" s="244"/>
      <c r="V19" s="244"/>
      <c r="W19" s="244"/>
      <c r="X19" s="244"/>
      <c r="Y19" s="244"/>
      <c r="Z19" s="244"/>
      <c r="AA19" s="244"/>
      <c r="AB19" s="244"/>
    </row>
    <row r="20" spans="2:28" x14ac:dyDescent="0.25">
      <c r="B20" s="1654" t="s">
        <v>1198</v>
      </c>
      <c r="C20" s="1521">
        <v>4.5</v>
      </c>
      <c r="D20" s="1364" t="str">
        <f>IFERROR(INDEX(Valores!E:E,MATCH(B20,Valores!C:C,0),1),"")</f>
        <v>Lts/Ha.</v>
      </c>
      <c r="E20" s="1365">
        <f>SUMIF(Valores!C:C,B20,Valores!F:F)</f>
        <v>4.3</v>
      </c>
      <c r="F20" s="1366" t="str">
        <f>IFERROR(INDEX(Valores!G:G,MATCH(B20,Valores!C:C,0),1),"")</f>
        <v>U$S/Lts.</v>
      </c>
      <c r="G20" s="811">
        <f>+E20*C20*$G$6</f>
        <v>29024.999999999996</v>
      </c>
      <c r="H20" s="798">
        <f>G20/$D$10</f>
        <v>1.1846213497132827</v>
      </c>
      <c r="J20" s="421"/>
      <c r="K20" s="691"/>
      <c r="L20" s="691"/>
      <c r="M20" s="692"/>
      <c r="N20" s="692"/>
      <c r="O20" s="692"/>
      <c r="P20" s="692"/>
      <c r="Q20" s="692"/>
      <c r="R20" s="692"/>
      <c r="S20" s="692"/>
      <c r="T20" s="692"/>
      <c r="U20" s="244"/>
      <c r="V20" s="244"/>
      <c r="W20" s="244"/>
      <c r="X20" s="244"/>
      <c r="Y20" s="244"/>
      <c r="Z20" s="244"/>
      <c r="AA20" s="244"/>
      <c r="AB20" s="244"/>
    </row>
    <row r="21" spans="2:28" x14ac:dyDescent="0.25">
      <c r="B21" s="1654" t="s">
        <v>1210</v>
      </c>
      <c r="C21" s="1521">
        <v>1.5</v>
      </c>
      <c r="D21" s="1364" t="str">
        <f>IFERROR(INDEX(Valores!E:E,MATCH(B21,Valores!C:C,0),1),"")</f>
        <v>Kg/Ha.</v>
      </c>
      <c r="E21" s="1365">
        <f>SUMIF(Valores!C:C,B21,Valores!F:F)</f>
        <v>6.95</v>
      </c>
      <c r="F21" s="1366" t="str">
        <f>IFERROR(INDEX(Valores!G:G,MATCH(B21,Valores!C:C,0),1),"")</f>
        <v>U$S/Kg.</v>
      </c>
      <c r="G21" s="811">
        <f>+E21*C21*$G$6</f>
        <v>15637.500000000002</v>
      </c>
      <c r="H21" s="798">
        <f>G21/$D$10</f>
        <v>0.63822623104707887</v>
      </c>
      <c r="K21" s="691"/>
      <c r="L21" s="691"/>
      <c r="M21" s="692"/>
      <c r="N21" s="692"/>
      <c r="O21" s="692"/>
      <c r="P21" s="692"/>
      <c r="Q21" s="692"/>
      <c r="R21" s="692"/>
      <c r="S21" s="692"/>
      <c r="T21" s="692"/>
      <c r="U21" s="244"/>
      <c r="V21" s="244"/>
      <c r="W21" s="244"/>
      <c r="X21" s="244"/>
      <c r="Y21" s="244"/>
      <c r="Z21" s="244"/>
      <c r="AA21" s="244"/>
      <c r="AB21" s="244"/>
    </row>
    <row r="22" spans="2:28" x14ac:dyDescent="0.25">
      <c r="B22" s="1654" t="s">
        <v>1197</v>
      </c>
      <c r="C22" s="1521">
        <v>2</v>
      </c>
      <c r="D22" s="1364" t="str">
        <f>IFERROR(INDEX(Valores!E:E,MATCH(B22,Valores!C:C,0),1),"")</f>
        <v>Lts/Ha.</v>
      </c>
      <c r="E22" s="1365">
        <f>SUMIF(Valores!C:C,B22,Valores!F:F)</f>
        <v>4.6500000000000004</v>
      </c>
      <c r="F22" s="1366" t="str">
        <f>IFERROR(INDEX(Valores!G:G,MATCH(B22,Valores!C:C,0),1),"")</f>
        <v>U$S/Lts.</v>
      </c>
      <c r="G22" s="811">
        <f>+E22*C22*$G$6</f>
        <v>13950.000000000002</v>
      </c>
      <c r="H22" s="798">
        <f>G22/$D$10</f>
        <v>0.56935289676142287</v>
      </c>
      <c r="K22" s="691"/>
      <c r="L22" s="691"/>
      <c r="M22" s="692"/>
      <c r="N22" s="692"/>
      <c r="O22" s="692"/>
      <c r="P22" s="692"/>
      <c r="Q22" s="692"/>
      <c r="R22" s="692"/>
      <c r="S22" s="692"/>
      <c r="T22" s="692"/>
      <c r="U22" s="244"/>
      <c r="V22" s="244"/>
      <c r="W22" s="244"/>
      <c r="X22" s="244"/>
      <c r="Y22" s="244"/>
      <c r="Z22" s="244"/>
      <c r="AA22" s="244"/>
      <c r="AB22" s="244"/>
    </row>
    <row r="23" spans="2:28" x14ac:dyDescent="0.25">
      <c r="B23" s="1654" t="s">
        <v>1199</v>
      </c>
      <c r="C23" s="1521">
        <v>0.2</v>
      </c>
      <c r="D23" s="1364" t="str">
        <f>IFERROR(INDEX(Valores!E:E,MATCH(B23,Valores!C:C,0),1),"")</f>
        <v>Lts/Ha.</v>
      </c>
      <c r="E23" s="1365">
        <f>SUMIF(Valores!C:C,B23,Valores!F:F)</f>
        <v>7.2</v>
      </c>
      <c r="F23" s="1366" t="str">
        <f>IFERROR(INDEX(Valores!G:G,MATCH(B23,Valores!C:C,0),1),"")</f>
        <v>U$S/Lts.</v>
      </c>
      <c r="G23" s="811">
        <f t="shared" ref="G23:G30" si="2">+E23*C23*$G$6</f>
        <v>2160.0000000000005</v>
      </c>
      <c r="H23" s="798">
        <f t="shared" ref="H23:H33" si="3">G23/$D$10</f>
        <v>8.8157867885639674E-2</v>
      </c>
      <c r="K23" s="691"/>
      <c r="L23" s="691"/>
      <c r="M23" s="692"/>
      <c r="N23" s="692"/>
      <c r="O23" s="692"/>
      <c r="P23" s="692"/>
      <c r="Q23" s="692"/>
      <c r="R23" s="692"/>
      <c r="S23" s="692"/>
      <c r="T23" s="692"/>
      <c r="U23" s="244"/>
      <c r="V23" s="244"/>
      <c r="W23" s="244"/>
      <c r="X23" s="244"/>
      <c r="Y23" s="244"/>
      <c r="Z23" s="244"/>
      <c r="AA23" s="244"/>
      <c r="AB23" s="244"/>
    </row>
    <row r="24" spans="2:28" x14ac:dyDescent="0.25">
      <c r="B24" s="1654" t="s">
        <v>1200</v>
      </c>
      <c r="C24" s="1521">
        <v>0.04</v>
      </c>
      <c r="D24" s="1364" t="str">
        <f>IFERROR(INDEX(Valores!E:E,MATCH(B24,Valores!C:C,0),1),"")</f>
        <v>Kg/Ha.</v>
      </c>
      <c r="E24" s="1365">
        <f>SUMIF(Valores!C:C,B24,Valores!F:F)</f>
        <v>305</v>
      </c>
      <c r="F24" s="1366" t="str">
        <f>IFERROR(INDEX(Valores!G:G,MATCH(B24,Valores!C:C,0),1),"")</f>
        <v>U$S/Kg.</v>
      </c>
      <c r="G24" s="811">
        <f t="shared" si="2"/>
        <v>18300</v>
      </c>
      <c r="H24" s="798">
        <f t="shared" si="3"/>
        <v>0.74689304736444706</v>
      </c>
      <c r="K24" s="691"/>
      <c r="L24" s="691"/>
      <c r="M24" s="692"/>
      <c r="N24" s="692"/>
      <c r="O24" s="692"/>
      <c r="P24" s="692"/>
      <c r="Q24" s="692"/>
      <c r="R24" s="692"/>
      <c r="S24" s="692"/>
      <c r="T24" s="692"/>
      <c r="U24" s="244"/>
      <c r="V24" s="244"/>
      <c r="W24" s="244"/>
      <c r="X24" s="244"/>
      <c r="Y24" s="244"/>
      <c r="Z24" s="244"/>
      <c r="AA24" s="244"/>
      <c r="AB24" s="244"/>
    </row>
    <row r="25" spans="2:28" x14ac:dyDescent="0.25">
      <c r="B25" s="1654" t="s">
        <v>1237</v>
      </c>
      <c r="C25" s="1521">
        <v>1</v>
      </c>
      <c r="D25" s="1364" t="str">
        <f>IFERROR(INDEX(Valores!E:E,MATCH(B25,Valores!C:C,0),1),"")</f>
        <v>Lts/Ha.</v>
      </c>
      <c r="E25" s="1365">
        <f>SUMIF(Valores!C:C,B25,Valores!F:F)</f>
        <v>5.3</v>
      </c>
      <c r="F25" s="1366" t="str">
        <f>IFERROR(INDEX(Valores!G:G,MATCH(B25,Valores!C:C,0),1),"")</f>
        <v>U$S/Lts.</v>
      </c>
      <c r="G25" s="811">
        <f t="shared" si="2"/>
        <v>7950</v>
      </c>
      <c r="H25" s="798">
        <f t="shared" si="3"/>
        <v>0.32446993041242372</v>
      </c>
      <c r="K25" s="691"/>
      <c r="L25" s="691"/>
      <c r="M25" s="692"/>
      <c r="N25" s="692"/>
      <c r="O25" s="692"/>
      <c r="P25" s="692"/>
      <c r="Q25" s="692"/>
      <c r="R25" s="692"/>
      <c r="S25" s="692"/>
      <c r="T25" s="692"/>
      <c r="U25" s="244"/>
      <c r="V25" s="244"/>
      <c r="W25" s="244"/>
      <c r="X25" s="244"/>
      <c r="Y25" s="244"/>
      <c r="Z25" s="244"/>
      <c r="AA25" s="244"/>
      <c r="AB25" s="244"/>
    </row>
    <row r="26" spans="2:28" x14ac:dyDescent="0.25">
      <c r="B26" s="1654"/>
      <c r="C26" s="1521"/>
      <c r="D26" s="1364" t="str">
        <f>IFERROR(INDEX(Valores!E:E,MATCH(B26,Valores!C:C,0),1),"")</f>
        <v/>
      </c>
      <c r="E26" s="1365">
        <f>SUMIF(Valores!C:C,B26,Valores!F:F)</f>
        <v>0</v>
      </c>
      <c r="F26" s="1366" t="str">
        <f>IFERROR(INDEX(Valores!G:G,MATCH(B26,Valores!C:C,0),1),"")</f>
        <v/>
      </c>
      <c r="G26" s="811">
        <f t="shared" si="2"/>
        <v>0</v>
      </c>
      <c r="H26" s="798">
        <f t="shared" si="3"/>
        <v>0</v>
      </c>
      <c r="K26" s="691"/>
      <c r="L26" s="691"/>
      <c r="M26" s="692"/>
      <c r="N26" s="692"/>
      <c r="O26" s="692"/>
      <c r="P26" s="692"/>
      <c r="Q26" s="692"/>
      <c r="R26" s="692"/>
      <c r="S26" s="692"/>
      <c r="T26" s="692"/>
      <c r="U26" s="244"/>
      <c r="V26" s="244"/>
      <c r="W26" s="244"/>
      <c r="X26" s="244"/>
      <c r="Y26" s="244"/>
      <c r="Z26" s="244"/>
      <c r="AA26" s="244"/>
      <c r="AB26" s="244"/>
    </row>
    <row r="27" spans="2:28" x14ac:dyDescent="0.25">
      <c r="B27" s="1654" t="s">
        <v>1085</v>
      </c>
      <c r="C27" s="1521">
        <v>0.6</v>
      </c>
      <c r="D27" s="1364" t="str">
        <f>IFERROR(INDEX(Valores!E:E,MATCH(B27,Valores!C:C,0),1),"")</f>
        <v>Lts/Ha.</v>
      </c>
      <c r="E27" s="1365">
        <f>SUMIF(Valores!C:C,B27,Valores!F:F)</f>
        <v>30.5</v>
      </c>
      <c r="F27" s="1366" t="str">
        <f>IFERROR(INDEX(Valores!G:G,MATCH(B27,Valores!C:C,0),1),"")</f>
        <v>U$S/Lts.</v>
      </c>
      <c r="G27" s="811">
        <f t="shared" si="2"/>
        <v>27450</v>
      </c>
      <c r="H27" s="798">
        <f t="shared" si="3"/>
        <v>1.1203395710466706</v>
      </c>
      <c r="K27" s="691"/>
      <c r="L27" s="691"/>
      <c r="M27" s="692"/>
      <c r="N27" s="692"/>
      <c r="O27" s="692"/>
      <c r="P27" s="692"/>
      <c r="Q27" s="692"/>
      <c r="R27" s="692"/>
      <c r="S27" s="692"/>
      <c r="T27" s="692"/>
      <c r="U27" s="244"/>
      <c r="V27" s="244"/>
      <c r="W27" s="244"/>
      <c r="X27" s="244"/>
      <c r="Y27" s="244"/>
      <c r="Z27" s="244"/>
      <c r="AA27" s="244"/>
      <c r="AB27" s="244"/>
    </row>
    <row r="28" spans="2:28" x14ac:dyDescent="0.25">
      <c r="B28" s="1654" t="s">
        <v>1087</v>
      </c>
      <c r="C28" s="1521">
        <v>0.26</v>
      </c>
      <c r="D28" s="1364" t="str">
        <f>IFERROR(INDEX(Valores!E:E,MATCH(B28,Valores!C:C,0),1),"")</f>
        <v>Lts/Ha.</v>
      </c>
      <c r="E28" s="1365">
        <f>SUMIF(Valores!C:C,B28,Valores!F:F)</f>
        <v>19.5</v>
      </c>
      <c r="F28" s="1366" t="str">
        <f>IFERROR(INDEX(Valores!G:G,MATCH(B28,Valores!C:C,0),1),"")</f>
        <v>U$S/Lts.</v>
      </c>
      <c r="G28" s="811">
        <f t="shared" si="2"/>
        <v>7605</v>
      </c>
      <c r="H28" s="798">
        <f t="shared" si="3"/>
        <v>0.31038915984735627</v>
      </c>
      <c r="K28" s="691"/>
      <c r="L28" s="691"/>
      <c r="M28" s="692"/>
      <c r="N28" s="692"/>
      <c r="O28" s="692"/>
      <c r="P28" s="692"/>
      <c r="Q28" s="692"/>
      <c r="R28" s="692"/>
      <c r="S28" s="692"/>
      <c r="T28" s="692"/>
      <c r="U28" s="244"/>
      <c r="V28" s="244"/>
      <c r="W28" s="244"/>
      <c r="X28" s="244"/>
      <c r="Y28" s="244"/>
      <c r="Z28" s="244"/>
      <c r="AA28" s="244"/>
      <c r="AB28" s="244"/>
    </row>
    <row r="29" spans="2:28" x14ac:dyDescent="0.25">
      <c r="B29" s="1654"/>
      <c r="C29" s="1521"/>
      <c r="D29" s="1364" t="str">
        <f>IFERROR(INDEX(Valores!E:E,MATCH(B29,Valores!C:C,0),1),"")</f>
        <v/>
      </c>
      <c r="E29" s="1365">
        <f>SUMIF(Valores!C:C,B29,Valores!F:F)</f>
        <v>0</v>
      </c>
      <c r="F29" s="1366" t="str">
        <f>IFERROR(INDEX(Valores!G:G,MATCH(B29,Valores!C:C,0),1),"")</f>
        <v/>
      </c>
      <c r="G29" s="811">
        <f t="shared" si="2"/>
        <v>0</v>
      </c>
      <c r="H29" s="798">
        <f t="shared" si="3"/>
        <v>0</v>
      </c>
      <c r="K29" s="691"/>
      <c r="L29" s="691"/>
      <c r="M29" s="692"/>
      <c r="N29" s="692"/>
      <c r="O29" s="692"/>
      <c r="P29" s="692"/>
      <c r="Q29" s="692"/>
      <c r="R29" s="692"/>
      <c r="S29" s="692"/>
      <c r="T29" s="692"/>
      <c r="U29" s="244"/>
      <c r="V29" s="244"/>
      <c r="W29" s="244"/>
      <c r="X29" s="244"/>
      <c r="Y29" s="244"/>
      <c r="Z29" s="244"/>
      <c r="AA29" s="244"/>
      <c r="AB29" s="244"/>
    </row>
    <row r="30" spans="2:28" x14ac:dyDescent="0.25">
      <c r="B30" s="1654"/>
      <c r="C30" s="1521"/>
      <c r="D30" s="1364" t="str">
        <f>IFERROR(INDEX(Valores!E:E,MATCH(B30,Valores!C:C,0),1),"")</f>
        <v/>
      </c>
      <c r="E30" s="1365">
        <f>SUMIF(Valores!C:C,B30,Valores!F:F)</f>
        <v>0</v>
      </c>
      <c r="F30" s="1366" t="str">
        <f>IFERROR(INDEX(Valores!G:G,MATCH(B30,Valores!C:C,0),1),"")</f>
        <v/>
      </c>
      <c r="G30" s="811">
        <f t="shared" si="2"/>
        <v>0</v>
      </c>
      <c r="H30" s="798">
        <f t="shared" si="3"/>
        <v>0</v>
      </c>
      <c r="K30" s="691"/>
      <c r="L30" s="691"/>
      <c r="M30" s="692"/>
      <c r="N30" s="692"/>
      <c r="O30" s="692"/>
      <c r="P30" s="692"/>
      <c r="Q30" s="692"/>
      <c r="R30" s="692"/>
      <c r="S30" s="692"/>
      <c r="T30" s="692"/>
      <c r="U30" s="244"/>
      <c r="V30" s="244"/>
      <c r="W30" s="244"/>
      <c r="X30" s="244"/>
      <c r="Y30" s="244"/>
      <c r="Z30" s="244"/>
      <c r="AA30" s="244"/>
      <c r="AB30" s="244"/>
    </row>
    <row r="31" spans="2:28" x14ac:dyDescent="0.25">
      <c r="B31" s="1654"/>
      <c r="C31" s="1521"/>
      <c r="D31" s="1364" t="str">
        <f>IFERROR(INDEX(Valores!E:E,MATCH(B31,Valores!C:C,0),1),"")</f>
        <v/>
      </c>
      <c r="E31" s="1365">
        <f>SUMIF(Valores!C:C,B31,Valores!F:F)</f>
        <v>0</v>
      </c>
      <c r="F31" s="1366" t="str">
        <f>IFERROR(INDEX(Valores!G:G,MATCH(B31,Valores!C:C,0),1),"")</f>
        <v/>
      </c>
      <c r="G31" s="811">
        <f>+E31*C31*$G$6</f>
        <v>0</v>
      </c>
      <c r="H31" s="798">
        <f t="shared" si="3"/>
        <v>0</v>
      </c>
      <c r="J31" s="421"/>
      <c r="K31" s="691"/>
      <c r="L31" s="691"/>
      <c r="M31" s="692"/>
      <c r="N31" s="692"/>
      <c r="O31" s="692"/>
      <c r="P31" s="692"/>
      <c r="Q31" s="692"/>
      <c r="R31" s="692"/>
      <c r="S31" s="692"/>
      <c r="T31" s="692"/>
      <c r="U31" s="244"/>
      <c r="V31" s="244"/>
      <c r="W31" s="244"/>
      <c r="X31" s="244"/>
      <c r="Y31" s="244"/>
      <c r="Z31" s="244"/>
      <c r="AA31" s="244"/>
      <c r="AB31" s="244"/>
    </row>
    <row r="32" spans="2:28" x14ac:dyDescent="0.25">
      <c r="B32" s="1654"/>
      <c r="C32" s="1521"/>
      <c r="D32" s="1364" t="str">
        <f>IFERROR(INDEX(Valores!E:E,MATCH(B32,Valores!C:C,0),1),"")</f>
        <v/>
      </c>
      <c r="E32" s="1365">
        <f>SUMIF(Valores!C:C,B32,Valores!F:F)</f>
        <v>0</v>
      </c>
      <c r="F32" s="1366" t="str">
        <f>IFERROR(INDEX(Valores!G:G,MATCH(B32,Valores!C:C,0),1),"")</f>
        <v/>
      </c>
      <c r="G32" s="811">
        <f t="shared" ref="G32:G33" si="4">+E32*C32*$G$6</f>
        <v>0</v>
      </c>
      <c r="H32" s="798">
        <f t="shared" si="3"/>
        <v>0</v>
      </c>
    </row>
    <row r="33" spans="2:28" x14ac:dyDescent="0.25">
      <c r="B33" s="1654"/>
      <c r="C33" s="1521"/>
      <c r="D33" s="1364" t="str">
        <f>IFERROR(INDEX(Valores!E:E,MATCH(B33,Valores!C:C,0),1),"")</f>
        <v/>
      </c>
      <c r="E33" s="1365">
        <f>SUMIF(Valores!C:C,B33,Valores!F:F)</f>
        <v>0</v>
      </c>
      <c r="F33" s="1366" t="str">
        <f>IFERROR(INDEX(Valores!G:G,MATCH(B33,Valores!C:C,0),1),"")</f>
        <v/>
      </c>
      <c r="G33" s="811">
        <f t="shared" si="4"/>
        <v>0</v>
      </c>
      <c r="H33" s="798">
        <f t="shared" si="3"/>
        <v>0</v>
      </c>
      <c r="K33" s="691"/>
      <c r="L33" s="691"/>
      <c r="M33" s="692"/>
      <c r="N33" s="692"/>
      <c r="O33" s="692"/>
      <c r="P33" s="692"/>
      <c r="Q33" s="692"/>
      <c r="R33" s="692"/>
      <c r="S33" s="692"/>
      <c r="T33" s="692"/>
      <c r="U33" s="244"/>
      <c r="V33" s="244"/>
      <c r="W33" s="244"/>
      <c r="X33" s="244"/>
      <c r="Y33" s="244"/>
      <c r="Z33" s="244"/>
      <c r="AA33" s="244"/>
      <c r="AB33" s="244"/>
    </row>
    <row r="34" spans="2:28" ht="14.4" customHeight="1" thickBot="1" x14ac:dyDescent="0.3">
      <c r="B34" s="172" t="s">
        <v>94</v>
      </c>
      <c r="C34" s="699"/>
      <c r="D34" s="700"/>
      <c r="E34" s="1159">
        <f>+G34/$G$6</f>
        <v>85.584999999999994</v>
      </c>
      <c r="F34" s="676" t="s">
        <v>95</v>
      </c>
      <c r="G34" s="812">
        <f>SUM(G15:G33)</f>
        <v>128377.5</v>
      </c>
      <c r="H34" s="802">
        <f>SUM(H15:H33)</f>
        <v>5.2395771687447708</v>
      </c>
      <c r="K34" s="691"/>
      <c r="L34" s="691"/>
      <c r="M34" s="692"/>
      <c r="N34" s="692"/>
      <c r="O34" s="692"/>
      <c r="P34" s="692"/>
      <c r="Q34" s="692"/>
      <c r="R34" s="692"/>
      <c r="S34" s="692"/>
      <c r="T34" s="692"/>
      <c r="U34" s="244"/>
      <c r="V34" s="244"/>
      <c r="W34" s="244"/>
      <c r="X34" s="244"/>
      <c r="Y34" s="244"/>
      <c r="Z34" s="244"/>
      <c r="AA34" s="244"/>
      <c r="AB34" s="244"/>
    </row>
    <row r="35" spans="2:28" x14ac:dyDescent="0.25">
      <c r="B35" s="1654" t="s">
        <v>1090</v>
      </c>
      <c r="C35" s="1521">
        <v>90</v>
      </c>
      <c r="D35" s="1364" t="str">
        <f>IFERROR(INDEX(Valores!E:E,MATCH(B35,Valores!C:C,0),1),"")</f>
        <v>Kg/Ha.</v>
      </c>
      <c r="E35" s="1365">
        <f>SUMIF(Valores!C:C,B35,Valores!F:F)</f>
        <v>1100</v>
      </c>
      <c r="F35" s="1366" t="str">
        <f>IFERROR(INDEX(Valores!G:G,MATCH(B35,Valores!C:C,0),1),"")</f>
        <v>U$S/ton.</v>
      </c>
      <c r="G35" s="811">
        <f t="shared" ref="G35:G38" si="5">+E35*C35*$G$6/1000</f>
        <v>148500</v>
      </c>
      <c r="H35" s="798">
        <f t="shared" ref="H35:H38" si="6">G35/$D$10</f>
        <v>6.060853417137726</v>
      </c>
      <c r="I35" s="244"/>
      <c r="J35" s="244"/>
      <c r="K35" s="692"/>
      <c r="L35" s="692"/>
      <c r="M35" s="692"/>
      <c r="N35" s="692"/>
      <c r="O35" s="692"/>
      <c r="P35" s="692"/>
      <c r="Q35" s="692"/>
      <c r="R35" s="692"/>
      <c r="S35" s="692"/>
      <c r="T35" s="692"/>
      <c r="U35" s="244"/>
      <c r="V35" s="244"/>
      <c r="W35" s="244"/>
      <c r="X35" s="244"/>
      <c r="Y35" s="244"/>
      <c r="Z35" s="244"/>
      <c r="AA35" s="244"/>
      <c r="AB35" s="244"/>
    </row>
    <row r="36" spans="2:28" x14ac:dyDescent="0.25">
      <c r="B36" s="1654" t="s">
        <v>1093</v>
      </c>
      <c r="C36" s="1521">
        <v>150</v>
      </c>
      <c r="D36" s="1364" t="str">
        <f>IFERROR(INDEX(Valores!E:E,MATCH(B36,Valores!C:C,0),1),"")</f>
        <v>Kg/Ha.</v>
      </c>
      <c r="E36" s="1365">
        <f>SUMIF(Valores!C:C,B36,Valores!F:F)</f>
        <v>970</v>
      </c>
      <c r="F36" s="1366" t="str">
        <f>IFERROR(INDEX(Valores!G:G,MATCH(B36,Valores!C:C,0),1),"")</f>
        <v>U$S/ton.</v>
      </c>
      <c r="G36" s="811">
        <f t="shared" si="5"/>
        <v>218250</v>
      </c>
      <c r="H36" s="798">
        <f t="shared" si="6"/>
        <v>8.9076179009448406</v>
      </c>
      <c r="I36" s="244"/>
      <c r="J36" s="244"/>
      <c r="K36" s="692"/>
      <c r="L36" s="692"/>
      <c r="M36" s="692"/>
      <c r="N36" s="692"/>
      <c r="O36" s="692"/>
      <c r="P36" s="692"/>
      <c r="Q36" s="692"/>
      <c r="R36" s="692"/>
      <c r="S36" s="692"/>
      <c r="T36" s="692"/>
      <c r="U36" s="244"/>
      <c r="V36" s="244"/>
      <c r="W36" s="244"/>
      <c r="X36" s="244"/>
      <c r="Y36" s="244"/>
      <c r="Z36" s="244"/>
      <c r="AA36" s="244"/>
      <c r="AB36" s="244"/>
    </row>
    <row r="37" spans="2:28" x14ac:dyDescent="0.25">
      <c r="B37" s="1654"/>
      <c r="C37" s="1521"/>
      <c r="D37" s="1364" t="str">
        <f>IFERROR(INDEX(Valores!E:E,MATCH(B37,Valores!C:C,0),1),"")</f>
        <v/>
      </c>
      <c r="E37" s="1365">
        <f>SUMIF(Valores!C:C,B37,Valores!F:F)</f>
        <v>0</v>
      </c>
      <c r="F37" s="1366" t="str">
        <f>IFERROR(INDEX(Valores!G:G,MATCH(B37,Valores!C:C,0),1),"")</f>
        <v/>
      </c>
      <c r="G37" s="811">
        <f>+E37*C37*$G$6/1000</f>
        <v>0</v>
      </c>
      <c r="H37" s="798">
        <f t="shared" si="6"/>
        <v>0</v>
      </c>
      <c r="I37" s="244"/>
      <c r="J37" s="244"/>
      <c r="K37" s="692"/>
      <c r="L37" s="692"/>
      <c r="M37" s="692"/>
      <c r="N37" s="692"/>
      <c r="O37" s="692"/>
      <c r="P37" s="692"/>
      <c r="Q37" s="692"/>
      <c r="R37" s="692"/>
      <c r="S37" s="692"/>
      <c r="T37" s="692"/>
      <c r="U37" s="244"/>
      <c r="V37" s="244"/>
    </row>
    <row r="38" spans="2:28" x14ac:dyDescent="0.25">
      <c r="B38" s="1654"/>
      <c r="C38" s="1521"/>
      <c r="D38" s="1364" t="str">
        <f>IFERROR(INDEX(Valores!E:E,MATCH(B38,Valores!C:C,0),1),"")</f>
        <v/>
      </c>
      <c r="E38" s="1365">
        <f>SUMIF(Valores!C:C,B38,Valores!F:F)</f>
        <v>0</v>
      </c>
      <c r="F38" s="1366" t="str">
        <f>IFERROR(INDEX(Valores!G:G,MATCH(B38,Valores!C:C,0),1),"")</f>
        <v/>
      </c>
      <c r="G38" s="811">
        <f t="shared" si="5"/>
        <v>0</v>
      </c>
      <c r="H38" s="798">
        <f t="shared" si="6"/>
        <v>0</v>
      </c>
      <c r="I38" s="244"/>
      <c r="J38" s="244"/>
      <c r="K38" s="692"/>
      <c r="L38" s="692"/>
      <c r="M38" s="692"/>
      <c r="N38" s="692"/>
      <c r="O38" s="692"/>
      <c r="P38" s="692"/>
      <c r="Q38" s="692"/>
      <c r="R38" s="692"/>
      <c r="S38" s="692"/>
      <c r="T38" s="692"/>
      <c r="U38" s="244"/>
      <c r="V38" s="244"/>
    </row>
    <row r="39" spans="2:28" ht="14.4" customHeight="1" thickBot="1" x14ac:dyDescent="0.3">
      <c r="B39" s="1551" t="s">
        <v>100</v>
      </c>
      <c r="C39" s="1447"/>
      <c r="D39" s="1448"/>
      <c r="E39" s="1552">
        <f>+G39/$G$6</f>
        <v>244.5</v>
      </c>
      <c r="F39" s="1553" t="s">
        <v>95</v>
      </c>
      <c r="G39" s="1451">
        <f>SUM(G35:G38)</f>
        <v>366750</v>
      </c>
      <c r="H39" s="1451">
        <f>SUM(H35:H38)</f>
        <v>14.968471318082567</v>
      </c>
      <c r="K39" s="691"/>
      <c r="L39" s="691"/>
      <c r="M39" s="691"/>
      <c r="N39" s="691"/>
      <c r="O39" s="691"/>
      <c r="P39" s="691"/>
      <c r="Q39" s="691"/>
      <c r="R39" s="691"/>
      <c r="S39" s="691"/>
      <c r="T39" s="691"/>
    </row>
    <row r="40" spans="2:28" x14ac:dyDescent="0.25">
      <c r="B40" s="157"/>
      <c r="C40" s="1458"/>
      <c r="D40" s="1458"/>
      <c r="E40" s="1555"/>
      <c r="F40" s="1556"/>
      <c r="G40" s="1461"/>
      <c r="H40" s="856"/>
      <c r="I40" s="1382"/>
      <c r="J40" s="244"/>
      <c r="K40" s="692"/>
      <c r="L40" s="692"/>
      <c r="M40" s="692"/>
      <c r="N40" s="692"/>
      <c r="O40" s="692"/>
      <c r="P40" s="692"/>
      <c r="Q40" s="692"/>
      <c r="R40" s="692"/>
      <c r="S40" s="692"/>
      <c r="T40" s="692"/>
      <c r="U40" s="244"/>
      <c r="V40" s="244"/>
    </row>
    <row r="41" spans="2:28" ht="14.4" customHeight="1" x14ac:dyDescent="0.25">
      <c r="B41" s="1654" t="s">
        <v>1238</v>
      </c>
      <c r="C41" s="1521">
        <v>0.33</v>
      </c>
      <c r="D41" s="1377" t="str">
        <f>IFERROR(INDEX(Valores!E:E,MATCH(B41,Valores!C:C,0),1),"")</f>
        <v>bls./Ha.</v>
      </c>
      <c r="E41" s="1554">
        <f>SUMIF(Valores!C:C,B41,Valores!F:F)</f>
        <v>180</v>
      </c>
      <c r="F41" s="1456" t="str">
        <f>IFERROR(INDEX(Valores!G:G,MATCH(B41,Valores!C:C,0),1),"")</f>
        <v>U$S/bls.</v>
      </c>
      <c r="G41" s="1557">
        <f>+E41*C41*$G$6</f>
        <v>89100.000000000015</v>
      </c>
      <c r="H41" s="1558">
        <f>G41/$D$10</f>
        <v>3.6365120502826365</v>
      </c>
      <c r="I41" s="1383"/>
      <c r="J41" s="244"/>
      <c r="K41" s="692"/>
      <c r="L41" s="692"/>
      <c r="M41" s="692"/>
      <c r="N41" s="692"/>
      <c r="O41" s="692"/>
      <c r="P41" s="692"/>
      <c r="Q41" s="692"/>
      <c r="R41" s="692"/>
      <c r="S41" s="692"/>
      <c r="T41" s="692"/>
      <c r="U41" s="244"/>
      <c r="V41" s="244"/>
    </row>
    <row r="42" spans="2:28" ht="14.4" customHeight="1" x14ac:dyDescent="0.25">
      <c r="B42" s="1654"/>
      <c r="C42" s="1521"/>
      <c r="D42" s="1377" t="str">
        <f>IFERROR(INDEX(Valores!E:E,MATCH(B42,Valores!C:C,0),1),"")</f>
        <v/>
      </c>
      <c r="E42" s="1554">
        <f>SUMIF(Valores!C:C,B42,Valores!F:F)</f>
        <v>0</v>
      </c>
      <c r="F42" s="1456" t="str">
        <f>IFERROR(INDEX(Valores!G:G,MATCH(B42,Valores!C:C,0),1),"")</f>
        <v/>
      </c>
      <c r="G42" s="1557">
        <f>+E42*C42*$G$6</f>
        <v>0</v>
      </c>
      <c r="H42" s="1558">
        <f>G42/$D$10</f>
        <v>0</v>
      </c>
      <c r="I42" s="1383"/>
      <c r="J42" s="244"/>
      <c r="K42" s="692"/>
      <c r="L42" s="692"/>
      <c r="M42" s="692"/>
      <c r="N42" s="692"/>
      <c r="O42" s="692"/>
      <c r="P42" s="692"/>
      <c r="Q42" s="692"/>
      <c r="R42" s="692"/>
      <c r="S42" s="692"/>
      <c r="T42" s="692"/>
      <c r="U42" s="244"/>
      <c r="V42" s="244"/>
    </row>
    <row r="43" spans="2:28" ht="14.4" thickBot="1" x14ac:dyDescent="0.3">
      <c r="B43" s="1160" t="s">
        <v>1212</v>
      </c>
      <c r="C43" s="1462"/>
      <c r="D43" s="1559"/>
      <c r="E43" s="1560">
        <f>G43/G6</f>
        <v>59.400000000000013</v>
      </c>
      <c r="F43" s="1561"/>
      <c r="G43" s="1562">
        <f>SUM(G41:G42)</f>
        <v>89100.000000000015</v>
      </c>
      <c r="H43" s="1563">
        <f>SUM(H41:H42)</f>
        <v>3.6365120502826365</v>
      </c>
      <c r="I43" s="1382"/>
      <c r="J43" s="244"/>
      <c r="K43" s="692"/>
      <c r="L43" s="692"/>
      <c r="M43" s="692"/>
      <c r="N43" s="692"/>
      <c r="O43" s="692"/>
      <c r="P43" s="692"/>
      <c r="Q43" s="692"/>
      <c r="R43" s="692"/>
      <c r="S43" s="692"/>
      <c r="T43" s="692"/>
      <c r="U43" s="244"/>
      <c r="V43" s="244"/>
    </row>
    <row r="44" spans="2:28" x14ac:dyDescent="0.25">
      <c r="B44" s="1655" t="s">
        <v>1239</v>
      </c>
      <c r="C44" s="1533">
        <v>1</v>
      </c>
      <c r="D44" s="1416" t="str">
        <f>IFERROR(INDEX(Valores!E:E,MATCH(B44,Valores!C:C,0),1),"")</f>
        <v>Siembra</v>
      </c>
      <c r="E44" s="1422">
        <f>SUMIF(Valores!C:C,B44,Valores!F:F)</f>
        <v>55</v>
      </c>
      <c r="F44" s="1403" t="str">
        <f>IFERROR(INDEX(Valores!G:G,MATCH(B44,Valores!C:C,0),1),"")</f>
        <v>U$S/Ha.</v>
      </c>
      <c r="G44" s="813">
        <f>C44*E44*$G$6</f>
        <v>82500</v>
      </c>
      <c r="H44" s="803">
        <f>G44/$D$10</f>
        <v>3.3671407872987369</v>
      </c>
      <c r="I44" s="244"/>
      <c r="J44" s="244"/>
      <c r="K44" s="692"/>
      <c r="L44" s="692"/>
      <c r="M44" s="692"/>
      <c r="N44" s="692"/>
      <c r="O44" s="692"/>
      <c r="P44" s="692"/>
      <c r="Q44" s="692"/>
      <c r="R44" s="692"/>
      <c r="S44" s="692"/>
      <c r="T44" s="692"/>
      <c r="U44" s="244"/>
      <c r="V44" s="244"/>
    </row>
    <row r="45" spans="2:28" x14ac:dyDescent="0.25">
      <c r="B45" s="1654" t="s">
        <v>44</v>
      </c>
      <c r="C45" s="1521">
        <v>0</v>
      </c>
      <c r="D45" s="1364" t="str">
        <f>IFERROR(INDEX(Valores!E:E,MATCH(B45,Valores!C:C,0),1),"")</f>
        <v>Aplicaciones</v>
      </c>
      <c r="E45" s="1365">
        <f>SUMIF(Valores!C:C,B45,Valores!F:F)</f>
        <v>26</v>
      </c>
      <c r="F45" s="1366" t="str">
        <f>IFERROR(INDEX(Valores!G:G,MATCH(B45,Valores!C:C,0),1),"")</f>
        <v>U$S/Ha.</v>
      </c>
      <c r="G45" s="811">
        <f t="shared" ref="G45:G47" si="7">C45*E45*$G$6</f>
        <v>0</v>
      </c>
      <c r="H45" s="798">
        <f>G45/$D$10</f>
        <v>0</v>
      </c>
      <c r="I45" s="244"/>
      <c r="J45" s="244"/>
      <c r="K45" s="692"/>
      <c r="L45" s="692"/>
      <c r="M45" s="692"/>
      <c r="N45" s="692"/>
      <c r="O45" s="692"/>
      <c r="P45" s="692"/>
      <c r="Q45" s="692"/>
      <c r="R45" s="692"/>
      <c r="S45" s="692"/>
      <c r="T45" s="692"/>
      <c r="U45" s="244"/>
      <c r="V45" s="244"/>
    </row>
    <row r="46" spans="2:28" x14ac:dyDescent="0.25">
      <c r="B46" s="1654" t="s">
        <v>48</v>
      </c>
      <c r="C46" s="1521">
        <v>3</v>
      </c>
      <c r="D46" s="1364" t="str">
        <f>IFERROR(INDEX(Valores!E:E,MATCH(B46,Valores!C:C,0),1),"")</f>
        <v>Aplicaciones</v>
      </c>
      <c r="E46" s="1365">
        <f>SUMIF(Valores!C:C,B46,Valores!F:F)</f>
        <v>8</v>
      </c>
      <c r="F46" s="1366" t="str">
        <f>IFERROR(INDEX(Valores!G:G,MATCH(B46,Valores!C:C,0),1),"")</f>
        <v>U$S/Ha.</v>
      </c>
      <c r="G46" s="811">
        <f t="shared" si="7"/>
        <v>36000</v>
      </c>
      <c r="H46" s="798">
        <f>G46/$D$10</f>
        <v>1.4692977980939943</v>
      </c>
      <c r="I46" s="244"/>
      <c r="J46" s="244"/>
      <c r="K46" s="692"/>
      <c r="L46" s="692"/>
      <c r="M46" s="692"/>
      <c r="N46" s="692"/>
      <c r="O46" s="692"/>
      <c r="P46" s="692"/>
      <c r="Q46" s="692"/>
      <c r="R46" s="692"/>
      <c r="S46" s="692"/>
      <c r="T46" s="692"/>
      <c r="U46" s="244"/>
      <c r="V46" s="244"/>
    </row>
    <row r="47" spans="2:28" x14ac:dyDescent="0.25">
      <c r="B47" s="1654"/>
      <c r="C47" s="1521"/>
      <c r="D47" s="1364" t="str">
        <f>IFERROR(INDEX(Valores!E:E,MATCH(B47,Valores!C:C,0),1),"")</f>
        <v/>
      </c>
      <c r="E47" s="1365">
        <f>SUMIF(Valores!C:C,B47,Valores!F:F)</f>
        <v>0</v>
      </c>
      <c r="F47" s="1366" t="str">
        <f>IFERROR(INDEX(Valores!G:G,MATCH(B47,Valores!C:C,0),1),"")</f>
        <v/>
      </c>
      <c r="G47" s="811">
        <f t="shared" si="7"/>
        <v>0</v>
      </c>
      <c r="H47" s="798">
        <f>G47/$D$10</f>
        <v>0</v>
      </c>
      <c r="I47" s="244"/>
      <c r="J47" s="244"/>
      <c r="K47" s="692"/>
      <c r="L47" s="692"/>
      <c r="M47" s="692"/>
      <c r="N47" s="692"/>
      <c r="O47" s="692"/>
      <c r="P47" s="692"/>
      <c r="Q47" s="692"/>
      <c r="R47" s="692"/>
      <c r="S47" s="692"/>
      <c r="T47" s="692"/>
      <c r="U47" s="244"/>
      <c r="V47" s="244"/>
    </row>
    <row r="48" spans="2:28" ht="14.4" customHeight="1" thickBot="1" x14ac:dyDescent="0.3">
      <c r="B48" s="65" t="s">
        <v>105</v>
      </c>
      <c r="C48" s="173"/>
      <c r="D48" s="174"/>
      <c r="E48" s="176">
        <f>E43+G48/$G$6</f>
        <v>138.4</v>
      </c>
      <c r="F48" s="676" t="s">
        <v>95</v>
      </c>
      <c r="G48" s="812">
        <f>SUM(G44:G47)</f>
        <v>118500</v>
      </c>
      <c r="H48" s="802">
        <f>SUM(H44:H47)</f>
        <v>4.836438585392731</v>
      </c>
      <c r="K48" s="691"/>
      <c r="L48" s="691"/>
      <c r="M48" s="691"/>
      <c r="N48" s="691"/>
      <c r="O48" s="691"/>
      <c r="P48" s="691"/>
      <c r="Q48" s="691"/>
      <c r="R48" s="691"/>
      <c r="S48" s="691"/>
      <c r="T48" s="691"/>
    </row>
    <row r="49" spans="2:22" x14ac:dyDescent="0.25">
      <c r="B49" s="181"/>
      <c r="C49" s="187"/>
      <c r="D49" s="182"/>
      <c r="E49" s="189"/>
      <c r="F49" s="677"/>
      <c r="G49" s="813"/>
      <c r="H49" s="803"/>
      <c r="K49" s="691"/>
      <c r="L49" s="691"/>
      <c r="M49" s="691"/>
      <c r="N49" s="691"/>
      <c r="O49" s="691"/>
      <c r="P49" s="691"/>
      <c r="Q49" s="691"/>
      <c r="R49" s="691"/>
      <c r="S49" s="691"/>
      <c r="T49" s="691"/>
    </row>
    <row r="50" spans="2:22" ht="13.95" customHeight="1" x14ac:dyDescent="0.25">
      <c r="B50" s="54" t="s">
        <v>106</v>
      </c>
      <c r="C50" s="1522">
        <v>40</v>
      </c>
      <c r="D50" s="695" t="s">
        <v>107</v>
      </c>
      <c r="E50" s="235">
        <v>3.15E-2</v>
      </c>
      <c r="F50" s="675" t="s">
        <v>72</v>
      </c>
      <c r="G50" s="842">
        <f>C50*(E50)*$D$10</f>
        <v>30871.89</v>
      </c>
      <c r="H50" s="843">
        <f>G50/$D$10</f>
        <v>1.26</v>
      </c>
      <c r="I50" s="238"/>
      <c r="J50" s="238"/>
      <c r="K50" s="451"/>
      <c r="L50" s="451"/>
      <c r="M50" s="451"/>
      <c r="N50" s="451"/>
      <c r="O50" s="451"/>
      <c r="P50" s="451"/>
      <c r="Q50" s="451"/>
      <c r="R50" s="451"/>
      <c r="S50" s="451"/>
      <c r="T50" s="451"/>
      <c r="U50" s="238"/>
      <c r="V50" s="238"/>
    </row>
    <row r="51" spans="2:22" ht="13.95" customHeight="1" thickBot="1" x14ac:dyDescent="0.3">
      <c r="B51" s="198"/>
      <c r="C51" s="199"/>
      <c r="D51" s="200"/>
      <c r="E51" s="202"/>
      <c r="F51" s="678"/>
      <c r="G51" s="742"/>
      <c r="H51" s="817"/>
      <c r="I51" s="238"/>
      <c r="J51" s="238"/>
      <c r="K51" s="451"/>
      <c r="L51" s="451"/>
      <c r="M51" s="451"/>
      <c r="N51" s="451"/>
      <c r="O51" s="451"/>
      <c r="P51" s="451"/>
      <c r="Q51" s="451"/>
      <c r="R51" s="451"/>
      <c r="S51" s="451"/>
      <c r="T51" s="451"/>
      <c r="U51" s="238"/>
      <c r="V51" s="238"/>
    </row>
    <row r="52" spans="2:22" ht="16.2" customHeight="1" thickBot="1" x14ac:dyDescent="0.3">
      <c r="B52" s="1506" t="s">
        <v>108</v>
      </c>
      <c r="C52" s="1507"/>
      <c r="D52" s="1507"/>
      <c r="E52" s="1508">
        <f>+G52/G6</f>
        <v>489.06626</v>
      </c>
      <c r="F52" s="1509"/>
      <c r="G52" s="1510">
        <f>+G34+G39+G41+G48+G50</f>
        <v>733599.39</v>
      </c>
      <c r="H52" s="1511">
        <f>+H34+H39+H41+H48+H50</f>
        <v>29.940999122502706</v>
      </c>
      <c r="K52" s="691"/>
      <c r="L52" s="691"/>
      <c r="M52" s="691"/>
      <c r="N52" s="691"/>
      <c r="O52" s="691"/>
      <c r="P52" s="691"/>
      <c r="Q52" s="691"/>
      <c r="R52" s="691"/>
      <c r="S52" s="691"/>
      <c r="T52" s="691"/>
    </row>
    <row r="53" spans="2:22" x14ac:dyDescent="0.25">
      <c r="F53" s="689"/>
      <c r="H53" s="112"/>
      <c r="I53" s="112"/>
      <c r="J53" s="112"/>
      <c r="K53" s="450"/>
      <c r="L53" s="450"/>
      <c r="M53" s="450"/>
      <c r="N53" s="450"/>
      <c r="O53" s="450"/>
      <c r="P53" s="450"/>
      <c r="Q53" s="450"/>
      <c r="R53" s="450"/>
      <c r="S53" s="450"/>
      <c r="T53" s="450"/>
      <c r="U53" s="112"/>
      <c r="V53" s="112"/>
    </row>
    <row r="54" spans="2:22" ht="13.95" customHeight="1" thickBot="1" x14ac:dyDescent="0.3">
      <c r="F54" s="689"/>
      <c r="H54" s="112"/>
      <c r="I54" s="112"/>
      <c r="J54" s="112"/>
      <c r="K54" s="450"/>
      <c r="L54" s="450"/>
      <c r="M54" s="450"/>
      <c r="N54" s="450"/>
      <c r="O54" s="450"/>
      <c r="P54" s="450"/>
      <c r="Q54" s="450"/>
      <c r="R54" s="450"/>
      <c r="S54" s="450"/>
      <c r="T54" s="450"/>
      <c r="U54" s="112"/>
      <c r="V54" s="112"/>
    </row>
    <row r="55" spans="2:22" ht="16.2" customHeight="1" thickBot="1" x14ac:dyDescent="0.3">
      <c r="B55" s="1708" t="s">
        <v>168</v>
      </c>
      <c r="C55" s="1686"/>
      <c r="D55" s="1687"/>
      <c r="I55" s="112"/>
      <c r="J55" s="112"/>
      <c r="K55" s="112"/>
      <c r="L55" s="112"/>
      <c r="M55" s="112"/>
      <c r="N55" s="112"/>
      <c r="O55" s="112"/>
      <c r="P55" s="112"/>
      <c r="Q55" s="112"/>
      <c r="R55" s="112"/>
      <c r="S55" s="112"/>
      <c r="T55" s="112"/>
      <c r="U55" s="112"/>
      <c r="V55" s="112"/>
    </row>
    <row r="56" spans="2:22" ht="18" customHeight="1" thickTop="1" thickBot="1" x14ac:dyDescent="0.3">
      <c r="B56" s="808">
        <f>+H56*D10*C56/100</f>
        <v>137208.4</v>
      </c>
      <c r="C56" s="1523">
        <v>8</v>
      </c>
      <c r="D56" s="232" t="s">
        <v>72</v>
      </c>
      <c r="E56" s="246"/>
      <c r="F56" s="247"/>
      <c r="G56" s="248" t="s">
        <v>190</v>
      </c>
      <c r="H56" s="262">
        <f>RESUMEN!J8</f>
        <v>70</v>
      </c>
      <c r="J56" s="244"/>
      <c r="K56" s="244"/>
      <c r="L56" s="244"/>
      <c r="M56" s="244"/>
      <c r="N56" s="244"/>
      <c r="O56" s="244"/>
      <c r="P56" s="244"/>
      <c r="Q56" s="244"/>
      <c r="R56" s="244"/>
      <c r="S56" s="244"/>
      <c r="T56" s="244"/>
      <c r="U56" s="244"/>
      <c r="V56" s="244"/>
    </row>
    <row r="57" spans="2:22" ht="15" customHeight="1" thickTop="1" thickBot="1" x14ac:dyDescent="0.3">
      <c r="G57" s="314" t="str">
        <f>+TRIGO!G53</f>
        <v>Equilibrio 26-27 :</v>
      </c>
      <c r="H57" s="315">
        <f>((G52+E64)/(D10-C59-C60))/(100-C56)*100</f>
        <v>68.744654941268024</v>
      </c>
      <c r="J57" s="244"/>
      <c r="K57" s="772"/>
      <c r="L57" s="244"/>
      <c r="M57" s="244"/>
      <c r="N57" s="244"/>
      <c r="O57" s="244"/>
      <c r="P57" s="244"/>
      <c r="Q57" s="244"/>
      <c r="R57" s="244"/>
      <c r="S57" s="244"/>
      <c r="T57" s="244"/>
      <c r="U57" s="244"/>
      <c r="V57" s="244"/>
    </row>
    <row r="58" spans="2:22" ht="16.2" customHeight="1" thickBot="1" x14ac:dyDescent="0.3">
      <c r="B58" s="1708" t="s">
        <v>170</v>
      </c>
      <c r="C58" s="1686"/>
      <c r="D58" s="1687"/>
      <c r="H58" s="261"/>
      <c r="K58" s="773"/>
    </row>
    <row r="59" spans="2:22" x14ac:dyDescent="0.25">
      <c r="B59" s="187" t="s">
        <v>113</v>
      </c>
      <c r="C59" s="1524">
        <v>0</v>
      </c>
      <c r="D59" s="232" t="s">
        <v>65</v>
      </c>
      <c r="H59" s="261"/>
      <c r="J59" s="244"/>
      <c r="K59" s="772"/>
      <c r="L59" s="244"/>
      <c r="M59" s="244"/>
      <c r="N59" s="244"/>
      <c r="O59" s="244"/>
      <c r="P59" s="244"/>
      <c r="Q59" s="244"/>
      <c r="R59" s="244"/>
      <c r="S59" s="244"/>
      <c r="T59" s="244"/>
      <c r="U59" s="244"/>
      <c r="V59" s="244"/>
    </row>
    <row r="60" spans="2:22" x14ac:dyDescent="0.25">
      <c r="B60" s="214" t="s">
        <v>115</v>
      </c>
      <c r="C60" s="1524">
        <v>0</v>
      </c>
      <c r="D60" s="232" t="s">
        <v>65</v>
      </c>
      <c r="H60" s="261"/>
      <c r="K60" s="772"/>
    </row>
    <row r="61" spans="2:22" x14ac:dyDescent="0.25">
      <c r="H61" s="261"/>
    </row>
    <row r="62" spans="2:22" ht="13.95" customHeight="1" thickBot="1" x14ac:dyDescent="0.3">
      <c r="H62" s="261"/>
      <c r="I62" s="261"/>
    </row>
    <row r="63" spans="2:22" ht="16.2" customHeight="1" thickBot="1" x14ac:dyDescent="0.3">
      <c r="B63" s="1700" t="s">
        <v>143</v>
      </c>
      <c r="C63" s="1686"/>
      <c r="D63" s="1686"/>
      <c r="E63" s="1687"/>
      <c r="G63" s="449"/>
      <c r="H63" s="261"/>
      <c r="I63" s="261"/>
      <c r="L63" s="244"/>
      <c r="M63" s="244"/>
      <c r="N63" s="244"/>
      <c r="O63" s="244"/>
      <c r="P63" s="244"/>
      <c r="Q63" s="244"/>
      <c r="R63" s="244"/>
      <c r="S63" s="244"/>
      <c r="T63" s="244"/>
      <c r="U63" s="244"/>
      <c r="V63" s="244"/>
    </row>
    <row r="64" spans="2:22" x14ac:dyDescent="0.25">
      <c r="C64" s="263">
        <f>+RESUMEN!D10</f>
        <v>17</v>
      </c>
      <c r="D64" s="456" t="s">
        <v>144</v>
      </c>
      <c r="E64" s="853">
        <f>+C64*Sj1º!D5</f>
        <v>816000</v>
      </c>
      <c r="F64" s="29" t="s">
        <v>117</v>
      </c>
      <c r="G64" s="859">
        <f>+E64/D10</f>
        <v>33.304083423463872</v>
      </c>
      <c r="H64" s="349" t="s">
        <v>77</v>
      </c>
      <c r="I64" s="261"/>
      <c r="M64" s="244"/>
      <c r="N64" s="244"/>
      <c r="O64" s="244"/>
      <c r="P64" s="244"/>
      <c r="Q64" s="244"/>
      <c r="R64" s="244"/>
      <c r="S64" s="244"/>
      <c r="T64" s="244"/>
      <c r="U64" s="244"/>
      <c r="V64" s="244"/>
    </row>
    <row r="65" spans="2:22" x14ac:dyDescent="0.25">
      <c r="D65" s="80" t="s">
        <v>118</v>
      </c>
      <c r="E65" s="763">
        <f>+E64/G6</f>
        <v>544</v>
      </c>
      <c r="H65" s="81"/>
      <c r="I65" s="261"/>
      <c r="J65" s="261"/>
      <c r="L65" s="244"/>
      <c r="M65" s="244"/>
      <c r="N65" s="244"/>
      <c r="O65" s="244"/>
      <c r="P65" s="244"/>
      <c r="Q65" s="244"/>
      <c r="R65" s="244"/>
      <c r="S65" s="244"/>
      <c r="T65" s="244"/>
      <c r="U65" s="244"/>
      <c r="V65" s="244"/>
    </row>
    <row r="66" spans="2:22" ht="15.6" customHeight="1" x14ac:dyDescent="0.25">
      <c r="G66" s="31"/>
      <c r="H66" s="261"/>
      <c r="I66" s="261"/>
      <c r="J66" s="31"/>
      <c r="L66" s="261"/>
      <c r="M66" s="245"/>
      <c r="N66" s="245"/>
      <c r="O66" s="245"/>
      <c r="P66" s="245"/>
      <c r="Q66" s="245"/>
      <c r="R66" s="245"/>
      <c r="S66" s="245"/>
      <c r="T66" s="245"/>
      <c r="U66" s="245"/>
      <c r="V66" s="245"/>
    </row>
    <row r="67" spans="2:22" ht="14.4" customHeight="1" thickBot="1" x14ac:dyDescent="0.3">
      <c r="G67" s="1504" t="s">
        <v>171</v>
      </c>
      <c r="H67" s="261"/>
      <c r="I67" s="261"/>
      <c r="L67" s="261"/>
      <c r="M67" s="245"/>
      <c r="N67" s="245"/>
      <c r="O67" s="245"/>
      <c r="P67" s="245"/>
      <c r="Q67" s="245"/>
      <c r="R67" s="245"/>
      <c r="S67" s="245"/>
      <c r="T67" s="245"/>
      <c r="U67" s="245"/>
      <c r="V67" s="245"/>
    </row>
    <row r="68" spans="2:22" ht="18.600000000000001" customHeight="1" thickTop="1" thickBot="1" x14ac:dyDescent="0.3">
      <c r="B68" s="1690" t="s">
        <v>172</v>
      </c>
      <c r="C68" s="1691"/>
      <c r="D68" s="253">
        <f>+E69/(E65+E52)</f>
        <v>1.826098421476539E-2</v>
      </c>
      <c r="E68" s="860">
        <f>$H$56*D10*(100-$C$56)/100-G52-E64-($C$59+$C$60)*$H$56</f>
        <v>28297.210000000079</v>
      </c>
      <c r="F68" s="32" t="s">
        <v>117</v>
      </c>
      <c r="G68" s="830">
        <f>+E68/D10</f>
        <v>1.1549174540334297</v>
      </c>
      <c r="H68" s="33" t="s">
        <v>77</v>
      </c>
      <c r="I68" s="261"/>
      <c r="M68" s="245"/>
      <c r="N68" s="245"/>
      <c r="O68" s="245"/>
      <c r="P68" s="245"/>
      <c r="Q68" s="245"/>
      <c r="R68" s="245"/>
      <c r="S68" s="245"/>
      <c r="T68" s="245"/>
      <c r="U68" s="245"/>
      <c r="V68" s="245"/>
    </row>
    <row r="69" spans="2:22" ht="16.2" customHeight="1" thickTop="1" x14ac:dyDescent="0.25">
      <c r="D69" s="37" t="s">
        <v>118</v>
      </c>
      <c r="E69" s="746">
        <f>+E68/G6</f>
        <v>18.86480666666672</v>
      </c>
      <c r="H69" s="35"/>
      <c r="I69" s="261"/>
      <c r="J69" s="82"/>
      <c r="L69" s="261"/>
    </row>
    <row r="70" spans="2:22" ht="14.4" customHeight="1" x14ac:dyDescent="0.25">
      <c r="H70" s="261"/>
      <c r="I70" s="261"/>
      <c r="J70" s="1502"/>
      <c r="K70" s="1502"/>
      <c r="L70" s="244"/>
      <c r="M70" s="244"/>
      <c r="N70" s="244"/>
      <c r="O70" s="244"/>
      <c r="P70" s="244"/>
      <c r="Q70" s="244"/>
      <c r="R70" s="244"/>
      <c r="S70" s="244"/>
      <c r="T70" s="244"/>
      <c r="U70" s="244"/>
      <c r="V70" s="244"/>
    </row>
    <row r="72" spans="2:22" x14ac:dyDescent="0.25">
      <c r="H72" s="261"/>
      <c r="I72" s="244"/>
      <c r="J72" s="244"/>
      <c r="K72" s="244"/>
      <c r="L72" s="244"/>
      <c r="M72" s="244"/>
      <c r="N72" s="244"/>
      <c r="O72" s="244"/>
      <c r="P72" s="244"/>
      <c r="Q72" s="244"/>
      <c r="R72" s="244"/>
      <c r="S72" s="244"/>
      <c r="T72" s="244"/>
      <c r="U72" s="244"/>
      <c r="V72" s="244"/>
    </row>
    <row r="74" spans="2:22" x14ac:dyDescent="0.25">
      <c r="H74" s="261"/>
      <c r="I74" s="245"/>
      <c r="J74" s="245"/>
      <c r="K74" s="245"/>
      <c r="L74" s="245"/>
      <c r="M74" s="245"/>
      <c r="N74" s="245"/>
      <c r="O74" s="245"/>
      <c r="P74" s="245"/>
      <c r="Q74" s="245"/>
      <c r="R74" s="245"/>
      <c r="S74" s="245"/>
      <c r="T74" s="245"/>
      <c r="U74" s="245"/>
      <c r="V74" s="245"/>
    </row>
    <row r="76" spans="2:22" x14ac:dyDescent="0.25">
      <c r="H76" s="261"/>
      <c r="I76" s="244"/>
      <c r="J76" s="244"/>
      <c r="K76" s="244"/>
      <c r="L76" s="244"/>
      <c r="M76" s="244"/>
      <c r="N76" s="244"/>
      <c r="O76" s="244"/>
      <c r="P76" s="244"/>
      <c r="Q76" s="244"/>
      <c r="R76" s="244"/>
      <c r="S76" s="244"/>
      <c r="T76" s="244"/>
      <c r="U76" s="244"/>
      <c r="V76" s="244"/>
    </row>
    <row r="159" s="261" customFormat="1" x14ac:dyDescent="0.25"/>
  </sheetData>
  <sheetProtection algorithmName="SHA-512" hashValue="AncJy/lXXZKIfY9AI3PZh7UYrA+b8KYv0AwBA3L2k19RcyPtW53EjC4FD9j5D4M5ACcy+vc76XLt5ojSEAXI4w==" saltValue="SRgZhi3LxbXlcR9rwAxFtg==" spinCount="100000" sheet="1" objects="1" scenarios="1"/>
  <mergeCells count="7">
    <mergeCell ref="B68:C68"/>
    <mergeCell ref="B1:H2"/>
    <mergeCell ref="B7:D7"/>
    <mergeCell ref="C14:D14"/>
    <mergeCell ref="B55:D55"/>
    <mergeCell ref="B58:D58"/>
    <mergeCell ref="B63:E63"/>
  </mergeCells>
  <printOptions horizontalCentered="1" verticalCentered="1"/>
  <pageMargins left="0.70866141732283472" right="0.70866141732283472" top="0.74803149606299213" bottom="0.74803149606299213" header="0.31496062992125978" footer="0.31496062992125978"/>
  <pageSetup paperSize="9" scale="90"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Seleccionar artículo correcto" promptTitle="Seleccionar artículo" xr:uid="{63ADBCE5-BEC7-4501-B0B9-73DDADE5E0B7}">
          <x14:formula1>
            <xm:f>Valores!$C$6:$C$123</xm:f>
          </x14:formula1>
          <xm:sqref>B44:B47 B41:B42 B15:B33 B35:B38</xm:sqref>
        </x14:dataValidation>
      </x14:dataValidations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B1:AB163"/>
  <sheetViews>
    <sheetView showGridLines="0" zoomScaleNormal="100" workbookViewId="0">
      <pane ySplit="2" topLeftCell="A33" activePane="bottomLeft" state="frozen"/>
      <selection activeCell="K31" sqref="K31"/>
      <selection pane="bottomLeft" activeCell="C62" sqref="C62"/>
    </sheetView>
  </sheetViews>
  <sheetFormatPr baseColWidth="10" defaultColWidth="11.44140625" defaultRowHeight="13.2" x14ac:dyDescent="0.25"/>
  <cols>
    <col min="1" max="1" width="2.5546875" style="261" customWidth="1"/>
    <col min="2" max="2" width="34.88671875" style="261" customWidth="1"/>
    <col min="3" max="3" width="8.6640625" style="261" bestFit="1" customWidth="1"/>
    <col min="4" max="4" width="11.109375" style="261" customWidth="1"/>
    <col min="5" max="5" width="12" style="261" customWidth="1"/>
    <col min="6" max="6" width="8.6640625" style="261" customWidth="1"/>
    <col min="7" max="7" width="21.5546875" style="261" bestFit="1" customWidth="1"/>
    <col min="8" max="8" width="10.109375" style="690" bestFit="1" customWidth="1"/>
    <col min="9" max="9" width="7.6640625" style="690" customWidth="1"/>
    <col min="10" max="22" width="9" style="690" customWidth="1"/>
    <col min="23" max="28" width="9" style="261" customWidth="1"/>
    <col min="29" max="31" width="11.44140625" style="261" customWidth="1"/>
    <col min="32" max="16384" width="11.44140625" style="261"/>
  </cols>
  <sheetData>
    <row r="1" spans="2:28" ht="12.75" customHeight="1" x14ac:dyDescent="0.25">
      <c r="B1" s="1806" t="s">
        <v>960</v>
      </c>
      <c r="C1" s="1807"/>
      <c r="D1" s="1807"/>
      <c r="E1" s="1807"/>
      <c r="F1" s="1807"/>
      <c r="G1" s="1807"/>
      <c r="H1" s="1807"/>
    </row>
    <row r="2" spans="2:28" ht="12.75" customHeight="1" x14ac:dyDescent="0.25">
      <c r="B2" s="1806"/>
      <c r="C2" s="1807"/>
      <c r="D2" s="1807"/>
      <c r="E2" s="1807"/>
      <c r="F2" s="1807"/>
      <c r="G2" s="1807"/>
      <c r="H2" s="1807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</row>
    <row r="3" spans="2:28" ht="12.75" customHeight="1" x14ac:dyDescent="0.25">
      <c r="B3" s="114"/>
      <c r="C3" s="114"/>
      <c r="D3" s="114"/>
      <c r="E3" s="114"/>
      <c r="F3" s="114"/>
      <c r="I3" s="244"/>
      <c r="J3" s="244"/>
      <c r="K3" s="452" t="s">
        <v>205</v>
      </c>
      <c r="L3" s="452" t="s">
        <v>206</v>
      </c>
      <c r="M3" s="452" t="s">
        <v>207</v>
      </c>
      <c r="N3" s="452" t="s">
        <v>208</v>
      </c>
      <c r="O3" s="452" t="s">
        <v>209</v>
      </c>
      <c r="P3" s="452" t="s">
        <v>210</v>
      </c>
      <c r="Q3" s="452" t="s">
        <v>211</v>
      </c>
      <c r="R3" s="452" t="s">
        <v>212</v>
      </c>
      <c r="S3" s="452" t="s">
        <v>213</v>
      </c>
      <c r="T3" s="452" t="s">
        <v>214</v>
      </c>
      <c r="U3" s="452" t="s">
        <v>215</v>
      </c>
      <c r="V3" s="452" t="s">
        <v>216</v>
      </c>
    </row>
    <row r="4" spans="2:28" ht="12.75" customHeight="1" x14ac:dyDescent="0.25">
      <c r="B4" s="114"/>
      <c r="C4" s="114"/>
      <c r="D4" s="114"/>
      <c r="E4" s="114"/>
      <c r="F4" s="114"/>
      <c r="I4" s="244"/>
      <c r="J4" s="244"/>
      <c r="K4" s="692"/>
      <c r="L4" s="692"/>
      <c r="M4" s="692"/>
      <c r="N4" s="692"/>
      <c r="O4" s="692"/>
      <c r="P4" s="692"/>
      <c r="Q4" s="692"/>
      <c r="R4" s="692"/>
      <c r="S4" s="692"/>
      <c r="T4" s="692"/>
      <c r="U4" s="244"/>
      <c r="V4" s="244"/>
    </row>
    <row r="5" spans="2:28" ht="13.95" customHeight="1" x14ac:dyDescent="0.25">
      <c r="B5" s="123" t="s">
        <v>64</v>
      </c>
      <c r="C5" s="124"/>
      <c r="D5" s="796">
        <f>+RESUMEN!M4</f>
        <v>60000</v>
      </c>
      <c r="E5" s="125" t="s">
        <v>65</v>
      </c>
      <c r="G5" s="453" t="s">
        <v>186</v>
      </c>
      <c r="H5" s="261"/>
      <c r="K5" s="692"/>
      <c r="L5" s="692"/>
      <c r="M5" s="692"/>
      <c r="N5" s="692"/>
      <c r="O5" s="692"/>
      <c r="P5" s="692"/>
      <c r="Q5" s="692"/>
      <c r="R5" s="692"/>
      <c r="S5" s="692"/>
      <c r="T5" s="692"/>
      <c r="U5" s="244"/>
      <c r="V5" s="244"/>
    </row>
    <row r="6" spans="2:28" ht="13.95" customHeight="1" thickBot="1" x14ac:dyDescent="0.3">
      <c r="G6" s="454">
        <f>+RESUMEN!Q13</f>
        <v>1500</v>
      </c>
      <c r="H6" s="129" t="s">
        <v>187</v>
      </c>
      <c r="I6" s="261"/>
      <c r="J6" s="261"/>
      <c r="K6" s="692"/>
      <c r="L6" s="691"/>
      <c r="M6" s="691"/>
      <c r="N6" s="691"/>
      <c r="O6" s="691"/>
      <c r="P6" s="691"/>
      <c r="Q6" s="691"/>
      <c r="R6" s="691"/>
      <c r="S6" s="691"/>
      <c r="T6" s="691"/>
    </row>
    <row r="7" spans="2:28" ht="17.399999999999999" customHeight="1" thickBot="1" x14ac:dyDescent="0.3">
      <c r="B7" s="1685" t="s">
        <v>68</v>
      </c>
      <c r="C7" s="1686"/>
      <c r="D7" s="1687"/>
      <c r="H7" s="261"/>
      <c r="I7" s="261"/>
      <c r="J7" s="261"/>
      <c r="K7" s="691"/>
      <c r="L7" s="450"/>
      <c r="M7" s="450"/>
      <c r="N7" s="450"/>
      <c r="O7" s="450"/>
      <c r="P7" s="450"/>
      <c r="Q7" s="450"/>
      <c r="R7" s="450"/>
      <c r="S7" s="450"/>
      <c r="T7" s="450"/>
      <c r="U7" s="112"/>
      <c r="V7" s="112"/>
    </row>
    <row r="8" spans="2:28" x14ac:dyDescent="0.25">
      <c r="B8" s="187" t="s">
        <v>70</v>
      </c>
      <c r="C8" s="133"/>
      <c r="D8" s="133">
        <f>+RESUMEN!$Q$14</f>
        <v>3400</v>
      </c>
      <c r="E8" s="134" t="s">
        <v>65</v>
      </c>
      <c r="H8" s="261"/>
      <c r="I8" s="261"/>
      <c r="J8" s="261"/>
      <c r="K8" s="691"/>
      <c r="L8" s="691"/>
      <c r="M8" s="691"/>
      <c r="N8" s="691"/>
      <c r="O8" s="691"/>
      <c r="P8" s="691"/>
      <c r="Q8" s="691"/>
      <c r="R8" s="691"/>
      <c r="S8" s="691"/>
      <c r="T8" s="691"/>
    </row>
    <row r="9" spans="2:28" x14ac:dyDescent="0.25">
      <c r="B9" s="187" t="s">
        <v>71</v>
      </c>
      <c r="C9" s="136"/>
      <c r="D9" s="1656">
        <v>2.1000000000000001E-2</v>
      </c>
      <c r="E9" s="232" t="s">
        <v>72</v>
      </c>
      <c r="H9" s="261"/>
      <c r="I9" s="261"/>
      <c r="J9" s="261"/>
      <c r="K9" s="691"/>
      <c r="L9" s="692"/>
      <c r="M9" s="692"/>
      <c r="N9" s="692"/>
      <c r="O9" s="692"/>
      <c r="P9" s="692"/>
      <c r="Q9" s="692"/>
      <c r="R9" s="692"/>
      <c r="S9" s="692"/>
      <c r="T9" s="692"/>
      <c r="U9" s="244"/>
      <c r="V9" s="244"/>
    </row>
    <row r="10" spans="2:28" x14ac:dyDescent="0.25">
      <c r="B10" s="137" t="s">
        <v>73</v>
      </c>
      <c r="C10" s="138"/>
      <c r="D10" s="12">
        <f>+D5*(1-D9)-D8</f>
        <v>55340</v>
      </c>
      <c r="E10" s="134" t="s">
        <v>65</v>
      </c>
      <c r="I10" s="244"/>
      <c r="J10" s="244"/>
      <c r="K10" s="692"/>
      <c r="L10" s="692"/>
      <c r="M10" s="692"/>
      <c r="N10" s="692"/>
      <c r="O10" s="692"/>
      <c r="P10" s="692"/>
      <c r="Q10" s="692"/>
      <c r="R10" s="692"/>
      <c r="S10" s="692"/>
      <c r="T10" s="692"/>
      <c r="U10" s="244"/>
      <c r="V10" s="244"/>
    </row>
    <row r="11" spans="2:28" x14ac:dyDescent="0.25">
      <c r="B11" s="215"/>
      <c r="C11" s="230"/>
      <c r="D11" s="230"/>
      <c r="E11" s="135"/>
      <c r="I11" s="244"/>
      <c r="J11" s="244"/>
      <c r="K11" s="692"/>
      <c r="L11" s="692"/>
      <c r="M11" s="692"/>
      <c r="N11" s="692"/>
      <c r="O11" s="692"/>
      <c r="P11" s="692"/>
      <c r="Q11" s="692"/>
      <c r="R11" s="692"/>
      <c r="S11" s="692"/>
      <c r="T11" s="692"/>
      <c r="U11" s="244"/>
      <c r="V11" s="244"/>
    </row>
    <row r="12" spans="2:28" ht="13.95" customHeight="1" thickBot="1" x14ac:dyDescent="0.3">
      <c r="I12" s="244"/>
      <c r="J12" s="244"/>
      <c r="K12" s="692"/>
      <c r="L12" s="692"/>
      <c r="M12" s="692"/>
      <c r="N12" s="692"/>
      <c r="O12" s="692"/>
      <c r="P12" s="692"/>
      <c r="Q12" s="692"/>
      <c r="R12" s="692"/>
      <c r="S12" s="692"/>
      <c r="T12" s="692"/>
      <c r="U12" s="244"/>
      <c r="V12" s="244"/>
    </row>
    <row r="13" spans="2:28" ht="17.399999999999999" customHeight="1" thickBot="1" x14ac:dyDescent="0.3">
      <c r="B13" s="53" t="s">
        <v>148</v>
      </c>
      <c r="C13" s="703"/>
      <c r="D13" s="704"/>
      <c r="E13" s="141" t="s">
        <v>149</v>
      </c>
      <c r="F13" s="142"/>
      <c r="G13" s="320" t="s">
        <v>76</v>
      </c>
      <c r="H13" s="146" t="s">
        <v>77</v>
      </c>
      <c r="I13" s="244"/>
      <c r="J13" s="244"/>
      <c r="K13" s="692"/>
      <c r="L13" s="692"/>
      <c r="M13" s="692"/>
      <c r="N13" s="692"/>
      <c r="O13" s="692"/>
      <c r="P13" s="692"/>
      <c r="Q13" s="692"/>
      <c r="R13" s="692"/>
      <c r="S13" s="692"/>
      <c r="T13" s="692"/>
      <c r="U13" s="244"/>
      <c r="V13" s="244"/>
    </row>
    <row r="14" spans="2:28" ht="13.95" customHeight="1" thickBot="1" x14ac:dyDescent="0.3">
      <c r="B14" s="147" t="s">
        <v>78</v>
      </c>
      <c r="C14" s="1689" t="s">
        <v>150</v>
      </c>
      <c r="D14" s="1681"/>
      <c r="E14" s="149" t="s">
        <v>188</v>
      </c>
      <c r="F14" s="150" t="s">
        <v>82</v>
      </c>
      <c r="G14" s="322" t="s">
        <v>188</v>
      </c>
      <c r="H14" s="324" t="s">
        <v>188</v>
      </c>
      <c r="I14" s="244"/>
      <c r="J14" s="244"/>
      <c r="K14" s="692"/>
      <c r="L14" s="692"/>
      <c r="M14" s="692"/>
      <c r="N14" s="692"/>
      <c r="O14" s="692"/>
      <c r="P14" s="692"/>
      <c r="Q14" s="692"/>
      <c r="R14" s="692"/>
      <c r="S14" s="692"/>
      <c r="T14" s="692"/>
      <c r="U14" s="244"/>
      <c r="V14" s="244"/>
    </row>
    <row r="15" spans="2:28" x14ac:dyDescent="0.25">
      <c r="B15" s="1653" t="s">
        <v>1095</v>
      </c>
      <c r="C15" s="1520">
        <v>1</v>
      </c>
      <c r="D15" s="1360" t="str">
        <f>IFERROR(INDEX(Valores!E:E,MATCH(B15,Valores!C:C,0),1),"")</f>
        <v>Lts/Ha.</v>
      </c>
      <c r="E15" s="1361">
        <f>SUMIF(Valores!C:C,B15,Valores!F:F)</f>
        <v>3.5</v>
      </c>
      <c r="F15" s="1362" t="str">
        <f>IFERROR(INDEX(Valores!G:G,MATCH(B15,Valores!C:C,0),1),"")</f>
        <v>U$S/Lts.</v>
      </c>
      <c r="G15" s="1375">
        <f t="shared" ref="G15" si="0">+E15*C15*$G$6</f>
        <v>5250</v>
      </c>
      <c r="H15" s="856">
        <f t="shared" ref="H15:H36" si="1">G15/$D$10</f>
        <v>9.4868088182146731E-2</v>
      </c>
      <c r="K15" s="691"/>
      <c r="L15" s="691"/>
      <c r="M15" s="691"/>
      <c r="N15" s="691"/>
      <c r="O15" s="691"/>
      <c r="P15" s="691"/>
      <c r="Q15" s="691"/>
      <c r="R15" s="691"/>
      <c r="S15" s="691"/>
      <c r="T15" s="691"/>
    </row>
    <row r="16" spans="2:28" x14ac:dyDescent="0.25">
      <c r="B16" s="1654" t="s">
        <v>1098</v>
      </c>
      <c r="C16" s="1521">
        <v>0.2</v>
      </c>
      <c r="D16" s="1364" t="str">
        <f>IFERROR(INDEX(Valores!E:E,MATCH(B16,Valores!C:C,0),1),"")</f>
        <v>Lts/Ha.</v>
      </c>
      <c r="E16" s="1365">
        <f>SUMIF(Valores!C:C,B16,Valores!F:F)</f>
        <v>18.5</v>
      </c>
      <c r="F16" s="1366" t="str">
        <f>IFERROR(INDEX(Valores!G:G,MATCH(B16,Valores!C:C,0),1),"")</f>
        <v>U$S/Lts.</v>
      </c>
      <c r="G16" s="1376">
        <f t="shared" ref="G16:G36" si="2">+E16*C16*$G$6</f>
        <v>5550</v>
      </c>
      <c r="H16" s="798">
        <f t="shared" si="1"/>
        <v>0.10028912179255511</v>
      </c>
      <c r="J16" s="421"/>
      <c r="K16" s="691"/>
      <c r="L16" s="691"/>
      <c r="M16" s="692"/>
      <c r="N16" s="692"/>
      <c r="O16" s="692"/>
      <c r="P16" s="692"/>
      <c r="Q16" s="692"/>
      <c r="R16" s="692"/>
      <c r="S16" s="692"/>
      <c r="T16" s="692"/>
      <c r="U16" s="244"/>
      <c r="V16" s="244"/>
      <c r="W16" s="244"/>
      <c r="X16" s="244"/>
      <c r="Y16" s="244"/>
      <c r="Z16" s="244"/>
      <c r="AA16" s="244"/>
      <c r="AB16" s="244"/>
    </row>
    <row r="17" spans="2:28" x14ac:dyDescent="0.25">
      <c r="B17" s="1654"/>
      <c r="C17" s="1521"/>
      <c r="D17" s="1364" t="str">
        <f>IFERROR(INDEX(Valores!E:E,MATCH(B17,Valores!C:C,0),1),"")</f>
        <v/>
      </c>
      <c r="E17" s="1365">
        <f>SUMIF(Valores!C:C,B17,Valores!F:F)</f>
        <v>0</v>
      </c>
      <c r="F17" s="1366" t="str">
        <f>IFERROR(INDEX(Valores!G:G,MATCH(B17,Valores!C:C,0),1),"")</f>
        <v/>
      </c>
      <c r="G17" s="1376">
        <f t="shared" si="2"/>
        <v>0</v>
      </c>
      <c r="H17" s="798">
        <f t="shared" si="1"/>
        <v>0</v>
      </c>
      <c r="J17" s="421"/>
      <c r="K17" s="691"/>
      <c r="L17" s="691"/>
      <c r="M17" s="692"/>
      <c r="N17" s="692"/>
      <c r="O17" s="692"/>
      <c r="P17" s="692"/>
      <c r="Q17" s="692"/>
      <c r="R17" s="692"/>
      <c r="S17" s="692"/>
      <c r="T17" s="692"/>
      <c r="U17" s="244"/>
      <c r="V17" s="244"/>
      <c r="W17" s="244"/>
      <c r="X17" s="244"/>
      <c r="Y17" s="244"/>
      <c r="Z17" s="244"/>
      <c r="AA17" s="244"/>
      <c r="AB17" s="244"/>
    </row>
    <row r="18" spans="2:28" x14ac:dyDescent="0.25">
      <c r="B18" s="1654" t="s">
        <v>1198</v>
      </c>
      <c r="C18" s="1521">
        <v>4</v>
      </c>
      <c r="D18" s="1364" t="str">
        <f>IFERROR(INDEX(Valores!E:E,MATCH(B18,Valores!C:C,0),1),"")</f>
        <v>Lts/Ha.</v>
      </c>
      <c r="E18" s="1365">
        <f>SUMIF(Valores!C:C,B18,Valores!F:F)</f>
        <v>4.3</v>
      </c>
      <c r="F18" s="1366" t="str">
        <f>IFERROR(INDEX(Valores!G:G,MATCH(B18,Valores!C:C,0),1),"")</f>
        <v>U$S/Lts.</v>
      </c>
      <c r="G18" s="1376">
        <f t="shared" si="2"/>
        <v>25800</v>
      </c>
      <c r="H18" s="798">
        <f t="shared" si="1"/>
        <v>0.46620889049512104</v>
      </c>
      <c r="J18" s="421"/>
      <c r="K18" s="691"/>
      <c r="L18" s="691"/>
      <c r="M18" s="692"/>
      <c r="N18" s="692"/>
      <c r="O18" s="692"/>
      <c r="P18" s="692"/>
      <c r="Q18" s="692"/>
      <c r="R18" s="692"/>
      <c r="S18" s="692"/>
      <c r="T18" s="692"/>
      <c r="U18" s="244"/>
      <c r="V18" s="244"/>
      <c r="W18" s="244"/>
      <c r="X18" s="244"/>
      <c r="Y18" s="244"/>
      <c r="Z18" s="244"/>
      <c r="AA18" s="244"/>
      <c r="AB18" s="244"/>
    </row>
    <row r="19" spans="2:28" x14ac:dyDescent="0.25">
      <c r="B19" s="1654" t="s">
        <v>1197</v>
      </c>
      <c r="C19" s="1521">
        <v>2</v>
      </c>
      <c r="D19" s="1364" t="str">
        <f>IFERROR(INDEX(Valores!E:E,MATCH(B19,Valores!C:C,0),1),"")</f>
        <v>Lts/Ha.</v>
      </c>
      <c r="E19" s="1365">
        <f>SUMIF(Valores!C:C,B19,Valores!F:F)</f>
        <v>4.6500000000000004</v>
      </c>
      <c r="F19" s="1366" t="str">
        <f>IFERROR(INDEX(Valores!G:G,MATCH(B19,Valores!C:C,0),1),"")</f>
        <v>U$S/Lts.</v>
      </c>
      <c r="G19" s="1376">
        <f t="shared" si="2"/>
        <v>13950.000000000002</v>
      </c>
      <c r="H19" s="798">
        <f t="shared" si="1"/>
        <v>0.25207806288398993</v>
      </c>
      <c r="J19" s="421"/>
      <c r="K19" s="691"/>
      <c r="L19" s="691"/>
      <c r="M19" s="692"/>
      <c r="N19" s="692"/>
      <c r="O19" s="692"/>
      <c r="P19" s="692"/>
      <c r="Q19" s="692"/>
      <c r="R19" s="692"/>
      <c r="S19" s="692"/>
      <c r="T19" s="692"/>
      <c r="U19" s="244"/>
      <c r="V19" s="244"/>
      <c r="W19" s="244"/>
      <c r="X19" s="244"/>
      <c r="Y19" s="244"/>
      <c r="Z19" s="244"/>
      <c r="AA19" s="244"/>
      <c r="AB19" s="244"/>
    </row>
    <row r="20" spans="2:28" x14ac:dyDescent="0.25">
      <c r="B20" s="1654" t="s">
        <v>1181</v>
      </c>
      <c r="C20" s="1521">
        <v>0.08</v>
      </c>
      <c r="D20" s="1364" t="str">
        <f>IFERROR(INDEX(Valores!E:E,MATCH(B20,Valores!C:C,0),1),"")</f>
        <v>Lts/Ha.</v>
      </c>
      <c r="E20" s="1365">
        <f>SUMIF(Valores!C:C,B20,Valores!F:F)</f>
        <v>99</v>
      </c>
      <c r="F20" s="1366" t="str">
        <f>IFERROR(INDEX(Valores!G:G,MATCH(B20,Valores!C:C,0),1),"")</f>
        <v>U$S/Lts.</v>
      </c>
      <c r="G20" s="1376">
        <f t="shared" ref="G20:G23" si="3">+E20*C20*$G$6</f>
        <v>11880</v>
      </c>
      <c r="H20" s="798">
        <f t="shared" ref="H20:H23" si="4">G20/$D$10</f>
        <v>0.21467293097217202</v>
      </c>
      <c r="J20" s="421"/>
      <c r="K20" s="691"/>
      <c r="L20" s="691"/>
      <c r="M20" s="692"/>
      <c r="N20" s="692"/>
      <c r="O20" s="692"/>
      <c r="P20" s="692"/>
      <c r="Q20" s="692"/>
      <c r="R20" s="692"/>
      <c r="S20" s="692"/>
      <c r="T20" s="692"/>
      <c r="U20" s="244"/>
      <c r="V20" s="244"/>
      <c r="W20" s="244"/>
      <c r="X20" s="244"/>
      <c r="Y20" s="244"/>
      <c r="Z20" s="244"/>
      <c r="AA20" s="244"/>
      <c r="AB20" s="244"/>
    </row>
    <row r="21" spans="2:28" x14ac:dyDescent="0.25">
      <c r="B21" s="1654" t="s">
        <v>1203</v>
      </c>
      <c r="C21" s="1521">
        <v>1</v>
      </c>
      <c r="D21" s="1364" t="str">
        <f>IFERROR(INDEX(Valores!E:E,MATCH(B21,Valores!C:C,0),1),"")</f>
        <v>Lts/Ha.</v>
      </c>
      <c r="E21" s="1365">
        <f>SUMIF(Valores!C:C,B21,Valores!F:F)</f>
        <v>7.8</v>
      </c>
      <c r="F21" s="1366" t="str">
        <f>IFERROR(INDEX(Valores!G:G,MATCH(B21,Valores!C:C,0),1),"")</f>
        <v>U$S/Lts.</v>
      </c>
      <c r="G21" s="1376">
        <f t="shared" si="3"/>
        <v>11700</v>
      </c>
      <c r="H21" s="798">
        <f t="shared" si="4"/>
        <v>0.21142031080592699</v>
      </c>
      <c r="J21" s="421"/>
      <c r="K21" s="691"/>
      <c r="L21" s="691"/>
      <c r="M21" s="692"/>
      <c r="N21" s="692"/>
      <c r="O21" s="692"/>
      <c r="P21" s="692"/>
      <c r="Q21" s="692"/>
      <c r="R21" s="692"/>
      <c r="S21" s="692"/>
      <c r="T21" s="692"/>
      <c r="U21" s="244"/>
      <c r="V21" s="244"/>
      <c r="W21" s="244"/>
      <c r="X21" s="244"/>
      <c r="Y21" s="244"/>
      <c r="Z21" s="244"/>
      <c r="AA21" s="244"/>
      <c r="AB21" s="244"/>
    </row>
    <row r="22" spans="2:28" x14ac:dyDescent="0.25">
      <c r="B22" s="1654" t="s">
        <v>1201</v>
      </c>
      <c r="C22" s="1521">
        <v>0.3</v>
      </c>
      <c r="D22" s="1364" t="str">
        <f>IFERROR(INDEX(Valores!E:E,MATCH(B22,Valores!C:C,0),1),"")</f>
        <v>Lts/Ha.</v>
      </c>
      <c r="E22" s="1365">
        <f>SUMIF(Valores!C:C,B22,Valores!F:F)</f>
        <v>19.3</v>
      </c>
      <c r="F22" s="1366" t="str">
        <f>IFERROR(INDEX(Valores!G:G,MATCH(B22,Valores!C:C,0),1),"")</f>
        <v>U$S/Lts.</v>
      </c>
      <c r="G22" s="1376">
        <f t="shared" si="3"/>
        <v>8685</v>
      </c>
      <c r="H22" s="798">
        <f t="shared" si="4"/>
        <v>0.15693892302132273</v>
      </c>
      <c r="J22" s="421"/>
      <c r="K22" s="691"/>
      <c r="L22" s="691"/>
      <c r="M22" s="692"/>
      <c r="N22" s="692"/>
      <c r="O22" s="692"/>
      <c r="P22" s="692"/>
      <c r="Q22" s="692"/>
      <c r="R22" s="692"/>
      <c r="S22" s="692"/>
      <c r="T22" s="692"/>
      <c r="U22" s="244"/>
      <c r="V22" s="244"/>
      <c r="W22" s="244"/>
      <c r="X22" s="244"/>
      <c r="Y22" s="244"/>
      <c r="Z22" s="244"/>
      <c r="AA22" s="244"/>
      <c r="AB22" s="244"/>
    </row>
    <row r="23" spans="2:28" x14ac:dyDescent="0.25">
      <c r="B23" s="1654" t="s">
        <v>1230</v>
      </c>
      <c r="C23" s="1521">
        <v>1</v>
      </c>
      <c r="D23" s="1364" t="str">
        <f>IFERROR(INDEX(Valores!E:E,MATCH(B23,Valores!C:C,0),1),"")</f>
        <v>Lts/Ha.</v>
      </c>
      <c r="E23" s="1365">
        <f>SUMIF(Valores!C:C,B23,Valores!F:F)</f>
        <v>6.4</v>
      </c>
      <c r="F23" s="1366" t="str">
        <f>IFERROR(INDEX(Valores!G:G,MATCH(B23,Valores!C:C,0),1),"")</f>
        <v>U$S/Lts.</v>
      </c>
      <c r="G23" s="1376">
        <f t="shared" si="3"/>
        <v>9600</v>
      </c>
      <c r="H23" s="798">
        <f t="shared" si="4"/>
        <v>0.17347307553306832</v>
      </c>
      <c r="J23" s="421"/>
      <c r="K23" s="691"/>
      <c r="L23" s="691"/>
      <c r="M23" s="692"/>
      <c r="N23" s="692"/>
      <c r="O23" s="692"/>
      <c r="P23" s="692"/>
      <c r="Q23" s="692"/>
      <c r="R23" s="692"/>
      <c r="S23" s="692"/>
      <c r="T23" s="692"/>
      <c r="U23" s="244"/>
      <c r="V23" s="244"/>
      <c r="W23" s="244"/>
      <c r="X23" s="244"/>
      <c r="Y23" s="244"/>
      <c r="Z23" s="244"/>
      <c r="AA23" s="244"/>
      <c r="AB23" s="244"/>
    </row>
    <row r="24" spans="2:28" x14ac:dyDescent="0.25">
      <c r="B24" s="1654"/>
      <c r="C24" s="1521"/>
      <c r="D24" s="1364" t="str">
        <f>IFERROR(INDEX(Valores!E:E,MATCH(B24,Valores!C:C,0),1),"")</f>
        <v/>
      </c>
      <c r="E24" s="1365">
        <f>SUMIF(Valores!C:C,B24,Valores!F:F)</f>
        <v>0</v>
      </c>
      <c r="F24" s="1366" t="str">
        <f>IFERROR(INDEX(Valores!G:G,MATCH(B24,Valores!C:C,0),1),"")</f>
        <v/>
      </c>
      <c r="G24" s="1376">
        <f t="shared" si="2"/>
        <v>0</v>
      </c>
      <c r="H24" s="798">
        <f t="shared" si="1"/>
        <v>0</v>
      </c>
      <c r="J24" s="421"/>
      <c r="K24" s="691"/>
      <c r="L24" s="691"/>
      <c r="M24" s="692"/>
      <c r="N24" s="692"/>
      <c r="O24" s="692"/>
      <c r="P24" s="692"/>
      <c r="Q24" s="692"/>
      <c r="R24" s="692"/>
      <c r="S24" s="692"/>
      <c r="T24" s="692"/>
      <c r="U24" s="244"/>
      <c r="V24" s="244"/>
      <c r="W24" s="244"/>
      <c r="X24" s="244"/>
      <c r="Y24" s="244"/>
      <c r="Z24" s="244"/>
      <c r="AA24" s="244"/>
      <c r="AB24" s="244"/>
    </row>
    <row r="25" spans="2:28" x14ac:dyDescent="0.25">
      <c r="B25" s="1654"/>
      <c r="C25" s="1521"/>
      <c r="D25" s="1364" t="str">
        <f>IFERROR(INDEX(Valores!E:E,MATCH(B25,Valores!C:C,0),1),"")</f>
        <v/>
      </c>
      <c r="E25" s="1365">
        <f>SUMIF(Valores!C:C,B25,Valores!F:F)</f>
        <v>0</v>
      </c>
      <c r="F25" s="1366" t="str">
        <f>IFERROR(INDEX(Valores!G:G,MATCH(B25,Valores!C:C,0),1),"")</f>
        <v/>
      </c>
      <c r="G25" s="1376">
        <f t="shared" si="2"/>
        <v>0</v>
      </c>
      <c r="H25" s="798">
        <f t="shared" si="1"/>
        <v>0</v>
      </c>
      <c r="K25" s="691"/>
      <c r="L25" s="691"/>
      <c r="M25" s="692"/>
      <c r="N25" s="692"/>
      <c r="O25" s="692"/>
      <c r="P25" s="692"/>
      <c r="Q25" s="692"/>
      <c r="R25" s="692"/>
      <c r="S25" s="692"/>
      <c r="T25" s="692"/>
      <c r="U25" s="244"/>
      <c r="V25" s="244"/>
      <c r="W25" s="244"/>
      <c r="X25" s="244"/>
      <c r="Y25" s="244"/>
      <c r="Z25" s="244"/>
      <c r="AA25" s="244"/>
      <c r="AB25" s="244"/>
    </row>
    <row r="26" spans="2:28" x14ac:dyDescent="0.25">
      <c r="B26" s="1654"/>
      <c r="C26" s="1521"/>
      <c r="D26" s="1364" t="str">
        <f>IFERROR(INDEX(Valores!E:E,MATCH(B26,Valores!C:C,0),1),"")</f>
        <v/>
      </c>
      <c r="E26" s="1365">
        <f>SUMIF(Valores!C:C,B26,Valores!F:F)</f>
        <v>0</v>
      </c>
      <c r="F26" s="1366" t="str">
        <f>IFERROR(INDEX(Valores!G:G,MATCH(B26,Valores!C:C,0),1),"")</f>
        <v/>
      </c>
      <c r="G26" s="1376">
        <f t="shared" si="2"/>
        <v>0</v>
      </c>
      <c r="H26" s="798">
        <f t="shared" si="1"/>
        <v>0</v>
      </c>
      <c r="K26" s="691"/>
      <c r="L26" s="691"/>
      <c r="M26" s="692"/>
      <c r="N26" s="692"/>
      <c r="O26" s="692"/>
      <c r="P26" s="692"/>
      <c r="Q26" s="692"/>
      <c r="R26" s="692"/>
      <c r="S26" s="692"/>
      <c r="T26" s="692"/>
      <c r="U26" s="244"/>
      <c r="V26" s="244"/>
      <c r="W26" s="244"/>
      <c r="X26" s="244"/>
      <c r="Y26" s="244"/>
      <c r="Z26" s="244"/>
      <c r="AA26" s="244"/>
      <c r="AB26" s="244"/>
    </row>
    <row r="27" spans="2:28" x14ac:dyDescent="0.25">
      <c r="B27" s="1654" t="s">
        <v>1218</v>
      </c>
      <c r="C27" s="1521">
        <v>3</v>
      </c>
      <c r="D27" s="1364" t="str">
        <f>IFERROR(INDEX(Valores!E:E,MATCH(B27,Valores!C:C,0),1),"")</f>
        <v>Lts/Ha.</v>
      </c>
      <c r="E27" s="1365">
        <f>SUMIF(Valores!C:C,B27,Valores!F:F)</f>
        <v>3.1</v>
      </c>
      <c r="F27" s="1366" t="str">
        <f>IFERROR(INDEX(Valores!G:G,MATCH(B27,Valores!C:C,0),1),"")</f>
        <v>U$S/Lts.</v>
      </c>
      <c r="G27" s="1376">
        <f t="shared" si="2"/>
        <v>13950.000000000002</v>
      </c>
      <c r="H27" s="798">
        <f t="shared" si="1"/>
        <v>0.25207806288398993</v>
      </c>
      <c r="K27" s="691"/>
      <c r="L27" s="691"/>
      <c r="M27" s="692"/>
      <c r="N27" s="692"/>
      <c r="O27" s="692"/>
      <c r="P27" s="692"/>
      <c r="Q27" s="692"/>
      <c r="R27" s="692"/>
      <c r="S27" s="692"/>
      <c r="T27" s="692"/>
      <c r="U27" s="244"/>
      <c r="V27" s="244"/>
      <c r="W27" s="244"/>
      <c r="X27" s="244"/>
      <c r="Y27" s="244"/>
      <c r="Z27" s="244"/>
      <c r="AA27" s="244"/>
      <c r="AB27" s="244"/>
    </row>
    <row r="28" spans="2:28" x14ac:dyDescent="0.25">
      <c r="B28" s="1654"/>
      <c r="C28" s="1521"/>
      <c r="D28" s="1364" t="str">
        <f>IFERROR(INDEX(Valores!E:E,MATCH(B28,Valores!C:C,0),1),"")</f>
        <v/>
      </c>
      <c r="E28" s="1365">
        <f>SUMIF(Valores!C:C,B28,Valores!F:F)</f>
        <v>0</v>
      </c>
      <c r="F28" s="1366" t="str">
        <f>IFERROR(INDEX(Valores!G:G,MATCH(B28,Valores!C:C,0),1),"")</f>
        <v/>
      </c>
      <c r="G28" s="1376">
        <f t="shared" si="2"/>
        <v>0</v>
      </c>
      <c r="H28" s="798">
        <f t="shared" si="1"/>
        <v>0</v>
      </c>
      <c r="K28" s="691"/>
      <c r="L28" s="691"/>
      <c r="M28" s="692"/>
      <c r="N28" s="692"/>
      <c r="O28" s="692"/>
      <c r="P28" s="692"/>
      <c r="Q28" s="692"/>
      <c r="R28" s="692"/>
      <c r="S28" s="692"/>
      <c r="T28" s="692"/>
      <c r="U28" s="244"/>
      <c r="V28" s="244"/>
      <c r="W28" s="244"/>
      <c r="X28" s="244"/>
      <c r="Y28" s="244"/>
      <c r="Z28" s="244"/>
      <c r="AA28" s="244"/>
      <c r="AB28" s="244"/>
    </row>
    <row r="29" spans="2:28" x14ac:dyDescent="0.25">
      <c r="B29" s="1654"/>
      <c r="C29" s="1521"/>
      <c r="D29" s="1364" t="str">
        <f>IFERROR(INDEX(Valores!E:E,MATCH(B29,Valores!C:C,0),1),"")</f>
        <v/>
      </c>
      <c r="E29" s="1365">
        <f>SUMIF(Valores!C:C,B29,Valores!F:F)</f>
        <v>0</v>
      </c>
      <c r="F29" s="1366" t="str">
        <f>IFERROR(INDEX(Valores!G:G,MATCH(B29,Valores!C:C,0),1),"")</f>
        <v/>
      </c>
      <c r="G29" s="1376">
        <f t="shared" si="2"/>
        <v>0</v>
      </c>
      <c r="H29" s="798">
        <f t="shared" si="1"/>
        <v>0</v>
      </c>
      <c r="K29" s="691"/>
      <c r="L29" s="691"/>
      <c r="M29" s="692"/>
      <c r="N29" s="692"/>
      <c r="O29" s="692"/>
      <c r="P29" s="692"/>
      <c r="Q29" s="692"/>
      <c r="R29" s="692"/>
      <c r="S29" s="692"/>
      <c r="T29" s="692"/>
      <c r="U29" s="244"/>
      <c r="V29" s="244"/>
      <c r="W29" s="244"/>
      <c r="X29" s="244"/>
      <c r="Y29" s="244"/>
      <c r="Z29" s="244"/>
      <c r="AA29" s="244"/>
      <c r="AB29" s="244"/>
    </row>
    <row r="30" spans="2:28" x14ac:dyDescent="0.25">
      <c r="B30" s="1654"/>
      <c r="C30" s="1521"/>
      <c r="D30" s="1364" t="str">
        <f>IFERROR(INDEX(Valores!E:E,MATCH(B30,Valores!C:C,0),1),"")</f>
        <v/>
      </c>
      <c r="E30" s="1365">
        <f>SUMIF(Valores!C:C,B30,Valores!F:F)</f>
        <v>0</v>
      </c>
      <c r="F30" s="1366" t="str">
        <f>IFERROR(INDEX(Valores!G:G,MATCH(B30,Valores!C:C,0),1),"")</f>
        <v/>
      </c>
      <c r="G30" s="1376">
        <f t="shared" si="2"/>
        <v>0</v>
      </c>
      <c r="H30" s="798">
        <f t="shared" si="1"/>
        <v>0</v>
      </c>
      <c r="K30" s="691"/>
      <c r="L30" s="691"/>
      <c r="M30" s="692"/>
      <c r="N30" s="692"/>
      <c r="O30" s="692"/>
      <c r="P30" s="692"/>
      <c r="Q30" s="692"/>
      <c r="R30" s="692"/>
      <c r="S30" s="692"/>
      <c r="T30" s="692"/>
      <c r="U30" s="244"/>
      <c r="V30" s="244"/>
      <c r="W30" s="244"/>
      <c r="X30" s="244"/>
      <c r="Y30" s="244"/>
      <c r="Z30" s="244"/>
      <c r="AA30" s="244"/>
      <c r="AB30" s="244"/>
    </row>
    <row r="31" spans="2:28" x14ac:dyDescent="0.25">
      <c r="B31" s="1654"/>
      <c r="C31" s="1521"/>
      <c r="D31" s="1364" t="str">
        <f>IFERROR(INDEX(Valores!E:E,MATCH(B31,Valores!C:C,0),1),"")</f>
        <v/>
      </c>
      <c r="E31" s="1365">
        <f>SUMIF(Valores!C:C,B31,Valores!F:F)</f>
        <v>0</v>
      </c>
      <c r="F31" s="1366" t="str">
        <f>IFERROR(INDEX(Valores!G:G,MATCH(B31,Valores!C:C,0),1),"")</f>
        <v/>
      </c>
      <c r="G31" s="1376">
        <f t="shared" si="2"/>
        <v>0</v>
      </c>
      <c r="H31" s="798">
        <f t="shared" si="1"/>
        <v>0</v>
      </c>
      <c r="K31" s="691"/>
      <c r="L31" s="691"/>
      <c r="M31" s="692"/>
      <c r="N31" s="692"/>
      <c r="O31" s="692"/>
      <c r="P31" s="692"/>
      <c r="Q31" s="692"/>
      <c r="R31" s="692"/>
      <c r="S31" s="692"/>
      <c r="T31" s="692"/>
      <c r="U31" s="244"/>
      <c r="V31" s="244"/>
      <c r="W31" s="244"/>
      <c r="X31" s="244"/>
      <c r="Y31" s="244"/>
      <c r="Z31" s="244"/>
      <c r="AA31" s="244"/>
      <c r="AB31" s="244"/>
    </row>
    <row r="32" spans="2:28" x14ac:dyDescent="0.25">
      <c r="B32" s="1654"/>
      <c r="C32" s="1521"/>
      <c r="D32" s="1364" t="str">
        <f>IFERROR(INDEX(Valores!E:E,MATCH(B32,Valores!C:C,0),1),"")</f>
        <v/>
      </c>
      <c r="E32" s="1365">
        <f>SUMIF(Valores!C:C,B32,Valores!F:F)</f>
        <v>0</v>
      </c>
      <c r="F32" s="1366" t="str">
        <f>IFERROR(INDEX(Valores!G:G,MATCH(B32,Valores!C:C,0),1),"")</f>
        <v/>
      </c>
      <c r="G32" s="1376">
        <f t="shared" si="2"/>
        <v>0</v>
      </c>
      <c r="H32" s="798">
        <f t="shared" si="1"/>
        <v>0</v>
      </c>
      <c r="K32" s="691"/>
      <c r="L32" s="691"/>
      <c r="M32" s="692"/>
      <c r="N32" s="692"/>
      <c r="O32" s="692"/>
      <c r="P32" s="692"/>
      <c r="Q32" s="692"/>
      <c r="R32" s="692"/>
      <c r="S32" s="692"/>
      <c r="T32" s="692"/>
      <c r="U32" s="244"/>
      <c r="V32" s="244"/>
      <c r="W32" s="244"/>
      <c r="X32" s="244"/>
      <c r="Y32" s="244"/>
      <c r="Z32" s="244"/>
      <c r="AA32" s="244"/>
      <c r="AB32" s="244"/>
    </row>
    <row r="33" spans="2:28" x14ac:dyDescent="0.25">
      <c r="B33" s="1654"/>
      <c r="C33" s="1521"/>
      <c r="D33" s="1364" t="str">
        <f>IFERROR(INDEX(Valores!E:E,MATCH(B33,Valores!C:C,0),1),"")</f>
        <v/>
      </c>
      <c r="E33" s="1365">
        <f>SUMIF(Valores!C:C,B33,Valores!F:F)</f>
        <v>0</v>
      </c>
      <c r="F33" s="1366" t="str">
        <f>IFERROR(INDEX(Valores!G:G,MATCH(B33,Valores!C:C,0),1),"")</f>
        <v/>
      </c>
      <c r="G33" s="1376">
        <f t="shared" si="2"/>
        <v>0</v>
      </c>
      <c r="H33" s="798">
        <f t="shared" si="1"/>
        <v>0</v>
      </c>
      <c r="K33" s="691"/>
      <c r="L33" s="691"/>
      <c r="M33" s="692"/>
      <c r="N33" s="692"/>
      <c r="O33" s="692"/>
      <c r="P33" s="692"/>
      <c r="Q33" s="692"/>
      <c r="R33" s="692"/>
      <c r="S33" s="692"/>
      <c r="T33" s="692"/>
      <c r="U33" s="244"/>
      <c r="V33" s="244"/>
      <c r="W33" s="244"/>
      <c r="X33" s="244"/>
      <c r="Y33" s="244"/>
      <c r="Z33" s="244"/>
      <c r="AA33" s="244"/>
      <c r="AB33" s="244"/>
    </row>
    <row r="34" spans="2:28" x14ac:dyDescent="0.25">
      <c r="B34" s="1654"/>
      <c r="C34" s="1521"/>
      <c r="D34" s="1364" t="str">
        <f>IFERROR(INDEX(Valores!E:E,MATCH(B34,Valores!C:C,0),1),"")</f>
        <v/>
      </c>
      <c r="E34" s="1365">
        <f>SUMIF(Valores!C:C,B34,Valores!F:F)</f>
        <v>0</v>
      </c>
      <c r="F34" s="1366" t="str">
        <f>IFERROR(INDEX(Valores!G:G,MATCH(B34,Valores!C:C,0),1),"")</f>
        <v/>
      </c>
      <c r="G34" s="1376">
        <f t="shared" si="2"/>
        <v>0</v>
      </c>
      <c r="H34" s="798">
        <f t="shared" si="1"/>
        <v>0</v>
      </c>
      <c r="K34" s="691"/>
      <c r="L34" s="691"/>
      <c r="M34" s="692"/>
      <c r="N34" s="692"/>
      <c r="O34" s="692"/>
      <c r="P34" s="692"/>
      <c r="Q34" s="692"/>
      <c r="R34" s="692"/>
      <c r="S34" s="692"/>
      <c r="T34" s="692"/>
      <c r="U34" s="244"/>
      <c r="V34" s="244"/>
      <c r="W34" s="244"/>
      <c r="X34" s="244"/>
      <c r="Y34" s="244"/>
      <c r="Z34" s="244"/>
      <c r="AA34" s="244"/>
      <c r="AB34" s="244"/>
    </row>
    <row r="35" spans="2:28" x14ac:dyDescent="0.25">
      <c r="B35" s="1654"/>
      <c r="C35" s="1521"/>
      <c r="D35" s="1364" t="str">
        <f>IFERROR(INDEX(Valores!E:E,MATCH(B35,Valores!C:C,0),1),"")</f>
        <v/>
      </c>
      <c r="E35" s="1365">
        <f>SUMIF(Valores!C:C,B35,Valores!F:F)</f>
        <v>0</v>
      </c>
      <c r="F35" s="1366" t="str">
        <f>IFERROR(INDEX(Valores!G:G,MATCH(B35,Valores!C:C,0),1),"")</f>
        <v/>
      </c>
      <c r="G35" s="1376">
        <f t="shared" si="2"/>
        <v>0</v>
      </c>
      <c r="H35" s="798">
        <f t="shared" si="1"/>
        <v>0</v>
      </c>
      <c r="K35" s="691"/>
      <c r="L35" s="691"/>
      <c r="M35" s="692"/>
      <c r="N35" s="692"/>
      <c r="O35" s="692"/>
      <c r="P35" s="692"/>
      <c r="Q35" s="692"/>
      <c r="R35" s="692"/>
      <c r="S35" s="692"/>
      <c r="T35" s="692"/>
      <c r="U35" s="244"/>
      <c r="V35" s="244"/>
      <c r="W35" s="244"/>
      <c r="X35" s="244"/>
      <c r="Y35" s="244"/>
      <c r="Z35" s="244"/>
      <c r="AA35" s="244"/>
      <c r="AB35" s="244"/>
    </row>
    <row r="36" spans="2:28" x14ac:dyDescent="0.25">
      <c r="B36" s="1654"/>
      <c r="C36" s="1521"/>
      <c r="D36" s="1364" t="str">
        <f>IFERROR(INDEX(Valores!E:E,MATCH(B36,Valores!C:C,0),1),"")</f>
        <v/>
      </c>
      <c r="E36" s="1365">
        <f>SUMIF(Valores!C:C,B36,Valores!F:F)</f>
        <v>0</v>
      </c>
      <c r="F36" s="1366" t="str">
        <f>IFERROR(INDEX(Valores!G:G,MATCH(B36,Valores!C:C,0),1),"")</f>
        <v/>
      </c>
      <c r="G36" s="1376">
        <f t="shared" si="2"/>
        <v>0</v>
      </c>
      <c r="H36" s="798">
        <f t="shared" si="1"/>
        <v>0</v>
      </c>
      <c r="K36" s="691"/>
      <c r="L36" s="691"/>
      <c r="M36" s="692"/>
      <c r="N36" s="692"/>
      <c r="O36" s="692"/>
      <c r="P36" s="692"/>
      <c r="Q36" s="692"/>
      <c r="R36" s="692"/>
      <c r="S36" s="692"/>
      <c r="T36" s="692"/>
      <c r="U36" s="244"/>
      <c r="V36" s="244"/>
      <c r="W36" s="244"/>
      <c r="X36" s="244"/>
      <c r="Y36" s="244"/>
      <c r="Z36" s="244"/>
      <c r="AA36" s="244"/>
      <c r="AB36" s="244"/>
    </row>
    <row r="37" spans="2:28" ht="13.8" thickBot="1" x14ac:dyDescent="0.3">
      <c r="B37" s="1664"/>
      <c r="C37" s="1532"/>
      <c r="D37" s="1413" t="str">
        <f>IFERROR(INDEX(Valores!E:E,MATCH(B37,Valores!C:C,0),1),"")</f>
        <v/>
      </c>
      <c r="E37" s="1420">
        <f>SUMIF(Valores!C:C,B37,Valores!F:F)</f>
        <v>0</v>
      </c>
      <c r="F37" s="1407" t="str">
        <f>IFERROR(INDEX(Valores!G:G,MATCH(B37,Valores!C:C,0),1),"")</f>
        <v/>
      </c>
      <c r="G37" s="1408">
        <f t="shared" ref="G37" si="5">+E37*C37*$G$6</f>
        <v>0</v>
      </c>
      <c r="H37" s="1025">
        <f t="shared" ref="H37" si="6">G37/$D$10</f>
        <v>0</v>
      </c>
      <c r="K37" s="691"/>
      <c r="L37" s="691"/>
      <c r="M37" s="692"/>
      <c r="N37" s="692"/>
      <c r="O37" s="692"/>
      <c r="P37" s="692"/>
      <c r="Q37" s="692"/>
      <c r="R37" s="692"/>
      <c r="S37" s="692"/>
      <c r="T37" s="692"/>
      <c r="U37" s="244"/>
      <c r="V37" s="244"/>
      <c r="W37" s="244"/>
      <c r="X37" s="244"/>
      <c r="Y37" s="244"/>
      <c r="Z37" s="244"/>
      <c r="AA37" s="244"/>
      <c r="AB37" s="244"/>
    </row>
    <row r="38" spans="2:28" ht="14.4" customHeight="1" thickBot="1" x14ac:dyDescent="0.3">
      <c r="B38" s="1409" t="s">
        <v>94</v>
      </c>
      <c r="C38" s="1410"/>
      <c r="D38" s="1414"/>
      <c r="E38" s="1421">
        <f>+G38/$G$6</f>
        <v>70.91</v>
      </c>
      <c r="F38" s="1411" t="s">
        <v>95</v>
      </c>
      <c r="G38" s="1417">
        <f>+SUM(G15:G37)</f>
        <v>106365</v>
      </c>
      <c r="H38" s="1412">
        <f>+SUM(H15:H37)</f>
        <v>1.9220274665702926</v>
      </c>
      <c r="K38" s="691"/>
      <c r="L38" s="691"/>
      <c r="M38" s="692"/>
      <c r="N38" s="692"/>
      <c r="O38" s="692"/>
      <c r="P38" s="692"/>
      <c r="Q38" s="692"/>
      <c r="R38" s="692"/>
      <c r="S38" s="692"/>
      <c r="T38" s="692"/>
      <c r="U38" s="244"/>
      <c r="V38" s="244"/>
      <c r="W38" s="244"/>
      <c r="X38" s="244"/>
      <c r="Y38" s="244"/>
      <c r="Z38" s="244"/>
      <c r="AA38" s="244"/>
      <c r="AB38" s="244"/>
    </row>
    <row r="39" spans="2:28" ht="13.8" thickBot="1" x14ac:dyDescent="0.3">
      <c r="B39" s="1404"/>
      <c r="C39" s="1405"/>
      <c r="D39" s="1415"/>
      <c r="E39" s="1404"/>
      <c r="F39" s="1406"/>
      <c r="G39" s="1418"/>
      <c r="H39" s="1406"/>
      <c r="I39" s="244"/>
      <c r="J39" s="244"/>
      <c r="K39" s="692"/>
      <c r="L39" s="692"/>
      <c r="M39" s="692"/>
      <c r="N39" s="692"/>
      <c r="O39" s="692"/>
      <c r="P39" s="692"/>
      <c r="Q39" s="692"/>
      <c r="R39" s="692"/>
      <c r="S39" s="692"/>
      <c r="T39" s="692"/>
      <c r="U39" s="244"/>
      <c r="V39" s="244"/>
      <c r="W39" s="244"/>
      <c r="X39" s="244"/>
      <c r="Y39" s="244"/>
      <c r="Z39" s="244"/>
      <c r="AA39" s="244"/>
      <c r="AB39" s="244"/>
    </row>
    <row r="40" spans="2:28" x14ac:dyDescent="0.25">
      <c r="B40" s="1655" t="s">
        <v>1090</v>
      </c>
      <c r="C40" s="1533">
        <v>50</v>
      </c>
      <c r="D40" s="1416" t="str">
        <f>IFERROR(INDEX(Valores!E:E,MATCH(B40,Valores!C:C,0),1),"")</f>
        <v>Kg/Ha.</v>
      </c>
      <c r="E40" s="1422">
        <f>SUMIF(Valores!C:C,B40,Valores!F:F)</f>
        <v>1100</v>
      </c>
      <c r="F40" s="1403" t="str">
        <f>IFERROR(INDEX(Valores!G:G,MATCH(B40,Valores!C:C,0),1),"")</f>
        <v>U$S/ton.</v>
      </c>
      <c r="G40" s="1419">
        <f t="shared" ref="G40:G41" si="7">+E40*C40*$G$6/1000</f>
        <v>82500</v>
      </c>
      <c r="H40" s="803">
        <f>G40/$D$10</f>
        <v>1.4907842428623057</v>
      </c>
      <c r="I40" s="244"/>
      <c r="J40" s="244"/>
      <c r="K40" s="692"/>
      <c r="L40" s="692"/>
      <c r="M40" s="692"/>
      <c r="N40" s="692"/>
      <c r="O40" s="692"/>
      <c r="P40" s="692"/>
      <c r="Q40" s="692"/>
      <c r="R40" s="692"/>
      <c r="S40" s="692"/>
      <c r="T40" s="692"/>
      <c r="U40" s="244"/>
      <c r="V40" s="244"/>
      <c r="W40" s="244"/>
      <c r="X40" s="244"/>
      <c r="Y40" s="244"/>
      <c r="Z40" s="244"/>
      <c r="AA40" s="244"/>
      <c r="AB40" s="244"/>
    </row>
    <row r="41" spans="2:28" x14ac:dyDescent="0.25">
      <c r="B41" s="1654" t="s">
        <v>1093</v>
      </c>
      <c r="C41" s="1521">
        <v>90</v>
      </c>
      <c r="D41" s="1364" t="str">
        <f>IFERROR(INDEX(Valores!E:E,MATCH(B41,Valores!C:C,0),1),"")</f>
        <v>Kg/Ha.</v>
      </c>
      <c r="E41" s="1365">
        <f>SUMIF(Valores!C:C,B41,Valores!F:F)</f>
        <v>970</v>
      </c>
      <c r="F41" s="1366" t="str">
        <f>IFERROR(INDEX(Valores!G:G,MATCH(B41,Valores!C:C,0),1),"")</f>
        <v>U$S/ton.</v>
      </c>
      <c r="G41" s="1376">
        <f t="shared" si="7"/>
        <v>130950</v>
      </c>
      <c r="H41" s="798">
        <f>G41/$D$10</f>
        <v>2.3662811709432598</v>
      </c>
      <c r="I41" s="244"/>
      <c r="J41" s="244"/>
      <c r="K41" s="692"/>
      <c r="L41" s="692"/>
      <c r="M41" s="692"/>
      <c r="N41" s="692"/>
      <c r="O41" s="692"/>
      <c r="P41" s="692"/>
      <c r="Q41" s="692"/>
      <c r="R41" s="692"/>
      <c r="S41" s="692"/>
      <c r="T41" s="692"/>
      <c r="U41" s="244"/>
      <c r="V41" s="244"/>
    </row>
    <row r="42" spans="2:28" x14ac:dyDescent="0.25">
      <c r="B42" s="1654"/>
      <c r="C42" s="1521"/>
      <c r="D42" s="1364" t="str">
        <f>IFERROR(INDEX(Valores!E:E,MATCH(B42,Valores!C:C,0),1),"")</f>
        <v/>
      </c>
      <c r="E42" s="1365">
        <f>SUMIF(Valores!C:C,B42,Valores!F:F)</f>
        <v>0</v>
      </c>
      <c r="F42" s="1366" t="str">
        <f>IFERROR(INDEX(Valores!G:G,MATCH(B42,Valores!C:C,0),1),"")</f>
        <v/>
      </c>
      <c r="G42" s="1376">
        <f t="shared" ref="G42" si="8">+E42*C42*$G$6/1000</f>
        <v>0</v>
      </c>
      <c r="H42" s="798">
        <f t="shared" ref="H42" si="9">G42/$D$10</f>
        <v>0</v>
      </c>
      <c r="I42" s="244"/>
      <c r="J42" s="244"/>
      <c r="K42" s="244"/>
      <c r="L42" s="244"/>
      <c r="M42" s="244"/>
      <c r="N42" s="244"/>
      <c r="O42" s="244"/>
      <c r="P42" s="244"/>
      <c r="Q42" s="692"/>
      <c r="R42" s="692"/>
      <c r="S42" s="692"/>
      <c r="T42" s="692"/>
      <c r="U42" s="244"/>
      <c r="V42" s="244"/>
    </row>
    <row r="43" spans="2:28" ht="14.4" customHeight="1" thickBot="1" x14ac:dyDescent="0.3">
      <c r="B43" s="1442" t="s">
        <v>100</v>
      </c>
      <c r="C43" s="1447"/>
      <c r="D43" s="1604"/>
      <c r="E43" s="1605">
        <f>+G43/$G$6</f>
        <v>142.30000000000001</v>
      </c>
      <c r="F43" s="1553" t="s">
        <v>95</v>
      </c>
      <c r="G43" s="1606">
        <f>+SUM(G40:G42)</f>
        <v>213450</v>
      </c>
      <c r="H43" s="1451">
        <f>+SUM(H40:H42)</f>
        <v>3.8570654138055653</v>
      </c>
      <c r="I43" s="244"/>
      <c r="J43" s="244"/>
      <c r="K43" s="244"/>
      <c r="L43" s="244"/>
      <c r="M43" s="244"/>
      <c r="N43" s="244"/>
      <c r="O43" s="244"/>
      <c r="P43" s="244"/>
      <c r="Q43" s="691"/>
      <c r="R43" s="691"/>
      <c r="S43" s="691"/>
      <c r="T43" s="691"/>
    </row>
    <row r="44" spans="2:28" x14ac:dyDescent="0.25">
      <c r="B44" s="157"/>
      <c r="C44" s="1458"/>
      <c r="D44" s="1458"/>
      <c r="E44" s="1555"/>
      <c r="F44" s="1556"/>
      <c r="G44" s="1461"/>
      <c r="H44" s="856"/>
      <c r="I44" s="244"/>
      <c r="J44" s="244"/>
      <c r="K44" s="244"/>
      <c r="L44" s="244"/>
      <c r="M44" s="244"/>
      <c r="N44" s="244"/>
      <c r="O44" s="244"/>
      <c r="P44" s="244"/>
      <c r="Q44" s="692"/>
      <c r="R44" s="692"/>
      <c r="S44" s="692"/>
      <c r="T44" s="692"/>
      <c r="U44" s="244"/>
      <c r="V44" s="244"/>
    </row>
    <row r="45" spans="2:28" ht="14.4" customHeight="1" x14ac:dyDescent="0.25">
      <c r="B45" s="1654" t="s">
        <v>39</v>
      </c>
      <c r="C45" s="1521">
        <v>0.33</v>
      </c>
      <c r="D45" s="1377" t="str">
        <f>IFERROR(INDEX(Valores!E:E,MATCH(B45,Valores!C:C,0),1),"")</f>
        <v>bls./Ha.</v>
      </c>
      <c r="E45" s="1378">
        <f>SUMIF(Valores!C:C,B45,Valores!F:F)</f>
        <v>250</v>
      </c>
      <c r="F45" s="1456" t="str">
        <f>IFERROR(INDEX(Valores!G:G,MATCH(B45,Valores!C:C,0),1),"")</f>
        <v>U$S/bls.</v>
      </c>
      <c r="G45" s="1608">
        <f>+E45*C45*$G$6</f>
        <v>123750</v>
      </c>
      <c r="H45" s="843">
        <f>G45/$D$10</f>
        <v>2.2361763642934585</v>
      </c>
      <c r="I45" s="1153" t="s">
        <v>1072</v>
      </c>
      <c r="J45" s="244"/>
      <c r="K45" s="692"/>
      <c r="L45" s="692"/>
      <c r="M45" s="692"/>
      <c r="N45" s="692"/>
      <c r="O45" s="692"/>
      <c r="P45" s="692"/>
      <c r="Q45" s="692"/>
      <c r="R45" s="692"/>
      <c r="S45" s="692"/>
      <c r="T45" s="692"/>
      <c r="U45" s="244"/>
      <c r="V45" s="244"/>
    </row>
    <row r="46" spans="2:28" ht="14.4" customHeight="1" x14ac:dyDescent="0.25">
      <c r="B46" s="1654"/>
      <c r="C46" s="1521"/>
      <c r="D46" s="1377" t="str">
        <f>IFERROR(INDEX(Valores!E:E,MATCH(B46,Valores!C:C,0),1),"")</f>
        <v/>
      </c>
      <c r="E46" s="1378">
        <f>SUMIF(Valores!C:C,B46,Valores!F:F)</f>
        <v>0</v>
      </c>
      <c r="F46" s="1456" t="str">
        <f>IFERROR(INDEX(Valores!G:G,MATCH(B46,Valores!C:C,0),1),"")</f>
        <v/>
      </c>
      <c r="G46" s="1608">
        <f>+E46*C46*$G$6</f>
        <v>0</v>
      </c>
      <c r="H46" s="843">
        <f>G46/$D$10</f>
        <v>0</v>
      </c>
      <c r="I46" s="1153"/>
      <c r="J46" s="244"/>
      <c r="K46" s="692"/>
      <c r="L46" s="692"/>
      <c r="M46" s="692"/>
      <c r="N46" s="692"/>
      <c r="O46" s="692"/>
      <c r="P46" s="692"/>
      <c r="Q46" s="692"/>
      <c r="R46" s="692"/>
      <c r="S46" s="692"/>
      <c r="T46" s="692"/>
      <c r="U46" s="244"/>
      <c r="V46" s="244"/>
    </row>
    <row r="47" spans="2:28" ht="14.4" thickBot="1" x14ac:dyDescent="0.3">
      <c r="B47" s="65" t="s">
        <v>1212</v>
      </c>
      <c r="C47" s="699"/>
      <c r="D47" s="699"/>
      <c r="E47" s="1609">
        <f>+G47/$G$6</f>
        <v>82.5</v>
      </c>
      <c r="F47" s="1610" t="s">
        <v>95</v>
      </c>
      <c r="G47" s="1611">
        <f>+SUM(G44:G46)</f>
        <v>123750</v>
      </c>
      <c r="H47" s="802">
        <f>+SUM(H44:H46)</f>
        <v>2.2361763642934585</v>
      </c>
      <c r="I47" s="244"/>
      <c r="J47" s="244"/>
      <c r="K47" s="692"/>
      <c r="L47" s="692"/>
      <c r="M47" s="692"/>
      <c r="N47" s="692"/>
      <c r="O47" s="692"/>
      <c r="P47" s="692"/>
      <c r="Q47" s="692"/>
      <c r="R47" s="692"/>
      <c r="S47" s="692"/>
      <c r="T47" s="692"/>
      <c r="U47" s="244"/>
      <c r="V47" s="244"/>
    </row>
    <row r="48" spans="2:28" x14ac:dyDescent="0.25">
      <c r="B48" s="1655" t="s">
        <v>57</v>
      </c>
      <c r="C48" s="1533">
        <v>1</v>
      </c>
      <c r="D48" s="1416" t="str">
        <f>IFERROR(INDEX(Valores!E:E,MATCH(B48,Valores!C:C,0),1),"")</f>
        <v>Siembra</v>
      </c>
      <c r="E48" s="1422">
        <f>SUMIF(Valores!C:C,B48,Valores!F:F)</f>
        <v>50</v>
      </c>
      <c r="F48" s="1403" t="str">
        <f>IFERROR(INDEX(Valores!G:G,MATCH(B48,Valores!C:C,0),1),"")</f>
        <v>U$S/Ha.</v>
      </c>
      <c r="G48" s="1419">
        <f>+E48*C48*$G$6</f>
        <v>75000</v>
      </c>
      <c r="H48" s="803">
        <f>G48/$D$10</f>
        <v>1.3552584026020962</v>
      </c>
      <c r="I48" s="244"/>
      <c r="J48" s="244"/>
      <c r="K48" s="692"/>
      <c r="L48" s="692"/>
      <c r="M48" s="692"/>
      <c r="N48" s="692"/>
      <c r="O48" s="692"/>
      <c r="P48" s="692"/>
      <c r="Q48" s="692"/>
      <c r="R48" s="692"/>
      <c r="S48" s="692"/>
      <c r="T48" s="692"/>
      <c r="U48" s="244"/>
      <c r="V48" s="244"/>
    </row>
    <row r="49" spans="2:22" x14ac:dyDescent="0.25">
      <c r="B49" s="1654" t="s">
        <v>44</v>
      </c>
      <c r="C49" s="1521">
        <v>1</v>
      </c>
      <c r="D49" s="1364" t="str">
        <f>IFERROR(INDEX(Valores!E:E,MATCH(B49,Valores!C:C,0),1),"")</f>
        <v>Aplicaciones</v>
      </c>
      <c r="E49" s="1365">
        <f>SUMIF(Valores!C:C,B49,Valores!F:F)</f>
        <v>26</v>
      </c>
      <c r="F49" s="1366" t="str">
        <f>IFERROR(INDEX(Valores!G:G,MATCH(B49,Valores!C:C,0),1),"")</f>
        <v>U$S/Ha.</v>
      </c>
      <c r="G49" s="1376">
        <f t="shared" ref="G49:G52" si="10">+E49*C49*$G$6</f>
        <v>39000</v>
      </c>
      <c r="H49" s="798">
        <f>G49/$D$10</f>
        <v>0.70473436935308997</v>
      </c>
      <c r="I49" s="244"/>
      <c r="J49" s="244"/>
      <c r="K49" s="692"/>
      <c r="L49" s="692"/>
      <c r="M49" s="692"/>
      <c r="N49" s="692"/>
      <c r="O49" s="692"/>
      <c r="P49" s="692"/>
      <c r="Q49" s="692"/>
      <c r="R49" s="692"/>
      <c r="S49" s="692"/>
      <c r="T49" s="692"/>
      <c r="U49" s="244"/>
      <c r="V49" s="244"/>
    </row>
    <row r="50" spans="2:22" x14ac:dyDescent="0.25">
      <c r="B50" s="1654" t="s">
        <v>48</v>
      </c>
      <c r="C50" s="1521">
        <v>3</v>
      </c>
      <c r="D50" s="1364" t="str">
        <f>IFERROR(INDEX(Valores!E:E,MATCH(B50,Valores!C:C,0),1),"")</f>
        <v>Aplicaciones</v>
      </c>
      <c r="E50" s="1365">
        <f>SUMIF(Valores!C:C,B50,Valores!F:F)</f>
        <v>8</v>
      </c>
      <c r="F50" s="1366" t="str">
        <f>IFERROR(INDEX(Valores!G:G,MATCH(B50,Valores!C:C,0),1),"")</f>
        <v>U$S/Ha.</v>
      </c>
      <c r="G50" s="1376">
        <f t="shared" si="10"/>
        <v>36000</v>
      </c>
      <c r="H50" s="798">
        <f>G50/$D$10</f>
        <v>0.6505240332490061</v>
      </c>
      <c r="I50" s="244"/>
      <c r="J50" s="244"/>
      <c r="K50" s="692"/>
      <c r="L50" s="692"/>
      <c r="M50" s="692"/>
      <c r="N50" s="692"/>
      <c r="O50" s="692"/>
      <c r="P50" s="692"/>
      <c r="Q50" s="692"/>
      <c r="R50" s="692"/>
      <c r="S50" s="692"/>
      <c r="T50" s="692"/>
      <c r="U50" s="244"/>
      <c r="V50" s="244"/>
    </row>
    <row r="51" spans="2:22" x14ac:dyDescent="0.25">
      <c r="B51" s="1654"/>
      <c r="C51" s="1521"/>
      <c r="D51" s="1364" t="str">
        <f>IFERROR(INDEX(Valores!E:E,MATCH(B51,Valores!C:C,0),1),"")</f>
        <v/>
      </c>
      <c r="E51" s="1365">
        <f>SUMIF(Valores!C:C,B51,Valores!F:F)</f>
        <v>0</v>
      </c>
      <c r="F51" s="1366" t="str">
        <f>IFERROR(INDEX(Valores!G:G,MATCH(B51,Valores!C:C,0),1),"")</f>
        <v/>
      </c>
      <c r="G51" s="1376">
        <f t="shared" si="10"/>
        <v>0</v>
      </c>
      <c r="H51" s="798">
        <f>G51/$D$10</f>
        <v>0</v>
      </c>
      <c r="I51" s="244"/>
      <c r="J51" s="244"/>
      <c r="K51" s="692"/>
      <c r="L51" s="692"/>
      <c r="M51" s="692"/>
      <c r="N51" s="692"/>
      <c r="O51" s="692"/>
      <c r="P51" s="692"/>
      <c r="Q51" s="692"/>
      <c r="R51" s="692"/>
      <c r="S51" s="692"/>
      <c r="T51" s="692"/>
      <c r="U51" s="244"/>
      <c r="V51" s="244"/>
    </row>
    <row r="52" spans="2:22" x14ac:dyDescent="0.25">
      <c r="B52" s="1654"/>
      <c r="C52" s="1521"/>
      <c r="D52" s="1364" t="str">
        <f>IFERROR(INDEX(Valores!E:E,MATCH(B52,Valores!C:C,0),1),"")</f>
        <v/>
      </c>
      <c r="E52" s="1365">
        <f>SUMIF(Valores!C:C,B52,Valores!F:F)</f>
        <v>0</v>
      </c>
      <c r="F52" s="1366" t="str">
        <f>IFERROR(INDEX(Valores!G:G,MATCH(B52,Valores!C:C,0),1),"")</f>
        <v/>
      </c>
      <c r="G52" s="1376">
        <f t="shared" si="10"/>
        <v>0</v>
      </c>
      <c r="H52" s="1025"/>
      <c r="I52" s="244"/>
      <c r="J52" s="244"/>
      <c r="K52" s="692"/>
      <c r="L52" s="692"/>
      <c r="M52" s="692"/>
      <c r="N52" s="692"/>
      <c r="O52" s="692"/>
      <c r="P52" s="692"/>
      <c r="Q52" s="692"/>
      <c r="R52" s="692"/>
      <c r="S52" s="692"/>
      <c r="T52" s="692"/>
      <c r="U52" s="244"/>
      <c r="V52" s="244"/>
    </row>
    <row r="53" spans="2:22" ht="14.4" customHeight="1" thickBot="1" x14ac:dyDescent="0.3">
      <c r="B53" s="65" t="s">
        <v>105</v>
      </c>
      <c r="C53" s="173"/>
      <c r="D53" s="1384"/>
      <c r="E53" s="68">
        <f>+G53/$G$6</f>
        <v>182.5</v>
      </c>
      <c r="F53" s="676" t="s">
        <v>95</v>
      </c>
      <c r="G53" s="1385">
        <f>+SUM(G47:G52)</f>
        <v>273750</v>
      </c>
      <c r="H53" s="802">
        <f>+SUM(H47:H52)</f>
        <v>4.9466931694976504</v>
      </c>
      <c r="K53" s="691"/>
      <c r="L53" s="691"/>
      <c r="M53" s="691"/>
      <c r="N53" s="691"/>
      <c r="O53" s="691"/>
      <c r="P53" s="691"/>
      <c r="Q53" s="691"/>
      <c r="R53" s="691"/>
      <c r="S53" s="691"/>
      <c r="T53" s="691"/>
    </row>
    <row r="54" spans="2:22" x14ac:dyDescent="0.25">
      <c r="B54" s="181"/>
      <c r="C54" s="187"/>
      <c r="D54" s="182"/>
      <c r="E54" s="189"/>
      <c r="F54" s="677"/>
      <c r="G54" s="813"/>
      <c r="H54" s="803"/>
      <c r="K54" s="691"/>
      <c r="L54" s="691"/>
      <c r="M54" s="691"/>
      <c r="N54" s="691"/>
      <c r="O54" s="691"/>
      <c r="P54" s="691"/>
      <c r="Q54" s="691"/>
      <c r="R54" s="691"/>
      <c r="S54" s="691"/>
      <c r="T54" s="691"/>
    </row>
    <row r="55" spans="2:22" ht="13.95" customHeight="1" x14ac:dyDescent="0.25">
      <c r="B55" s="54" t="s">
        <v>106</v>
      </c>
      <c r="C55" s="1522">
        <v>15</v>
      </c>
      <c r="D55" s="695" t="s">
        <v>107</v>
      </c>
      <c r="E55" s="235">
        <v>3.2000000000000001E-2</v>
      </c>
      <c r="F55" s="675" t="s">
        <v>72</v>
      </c>
      <c r="G55" s="842">
        <f>C55*(E55)*$D$10</f>
        <v>26563.200000000001</v>
      </c>
      <c r="H55" s="843">
        <f>G55/$D$10</f>
        <v>0.48000000000000004</v>
      </c>
      <c r="I55" s="238"/>
      <c r="J55" s="238"/>
      <c r="K55" s="451"/>
      <c r="L55" s="451"/>
      <c r="M55" s="451"/>
      <c r="N55" s="451"/>
      <c r="O55" s="451"/>
      <c r="P55" s="451"/>
      <c r="Q55" s="451"/>
      <c r="R55" s="451"/>
      <c r="S55" s="451"/>
      <c r="T55" s="451"/>
      <c r="U55" s="238"/>
      <c r="V55" s="238"/>
    </row>
    <row r="56" spans="2:22" ht="13.95" customHeight="1" thickBot="1" x14ac:dyDescent="0.3">
      <c r="B56" s="198"/>
      <c r="C56" s="199"/>
      <c r="D56" s="200"/>
      <c r="E56" s="202"/>
      <c r="F56" s="678"/>
      <c r="G56" s="742"/>
      <c r="H56" s="817"/>
      <c r="I56" s="238"/>
      <c r="J56" s="238"/>
      <c r="K56" s="451"/>
      <c r="L56" s="451"/>
      <c r="M56" s="451"/>
      <c r="N56" s="451"/>
      <c r="O56" s="451"/>
      <c r="P56" s="451"/>
      <c r="Q56" s="451"/>
      <c r="R56" s="451"/>
      <c r="S56" s="451"/>
      <c r="T56" s="451"/>
      <c r="U56" s="238"/>
      <c r="V56" s="238"/>
    </row>
    <row r="57" spans="2:22" ht="16.2" customHeight="1" thickBot="1" x14ac:dyDescent="0.3">
      <c r="B57" s="1506" t="s">
        <v>108</v>
      </c>
      <c r="C57" s="1507"/>
      <c r="D57" s="1507"/>
      <c r="E57" s="1508">
        <f>+G57/$G$6</f>
        <v>495.91879999999998</v>
      </c>
      <c r="F57" s="1509"/>
      <c r="G57" s="1510">
        <f>+G55+G45+G43+G38+G53</f>
        <v>743878.2</v>
      </c>
      <c r="H57" s="1511">
        <f>+H55+H45+H43+H38+H53</f>
        <v>13.441962414166966</v>
      </c>
      <c r="K57" s="691"/>
      <c r="L57" s="691"/>
      <c r="M57" s="691"/>
      <c r="N57" s="691"/>
      <c r="O57" s="691"/>
      <c r="P57" s="691"/>
      <c r="Q57" s="691"/>
      <c r="R57" s="691"/>
      <c r="S57" s="691"/>
      <c r="T57" s="691"/>
    </row>
    <row r="58" spans="2:22" x14ac:dyDescent="0.25">
      <c r="F58" s="689"/>
      <c r="H58" s="112"/>
      <c r="I58" s="112"/>
      <c r="J58" s="112"/>
      <c r="K58" s="450"/>
      <c r="L58" s="450"/>
      <c r="M58" s="450"/>
      <c r="N58" s="450"/>
      <c r="O58" s="450"/>
      <c r="P58" s="450"/>
      <c r="Q58" s="450"/>
      <c r="R58" s="450"/>
      <c r="S58" s="450"/>
      <c r="T58" s="450"/>
      <c r="U58" s="112"/>
      <c r="V58" s="112"/>
    </row>
    <row r="59" spans="2:22" ht="13.95" customHeight="1" thickBot="1" x14ac:dyDescent="0.3">
      <c r="F59" s="689"/>
      <c r="H59" s="112"/>
      <c r="I59" s="112"/>
      <c r="J59" s="112"/>
      <c r="K59" s="450"/>
      <c r="L59" s="450"/>
      <c r="M59" s="450"/>
      <c r="N59" s="450"/>
      <c r="O59" s="450"/>
      <c r="P59" s="450"/>
      <c r="Q59" s="450"/>
      <c r="R59" s="450"/>
      <c r="S59" s="450"/>
      <c r="T59" s="450"/>
      <c r="U59" s="112"/>
      <c r="V59" s="112"/>
    </row>
    <row r="60" spans="2:22" ht="16.2" customHeight="1" thickBot="1" x14ac:dyDescent="0.35">
      <c r="B60" s="1716" t="s">
        <v>109</v>
      </c>
      <c r="C60" s="1686"/>
      <c r="D60" s="1687"/>
      <c r="H60" s="261"/>
      <c r="I60" s="691"/>
      <c r="J60" s="691"/>
      <c r="K60" s="691"/>
      <c r="L60" s="691"/>
      <c r="M60" s="691"/>
      <c r="N60" s="691"/>
      <c r="O60" s="691"/>
      <c r="P60" s="691"/>
      <c r="Q60" s="261"/>
      <c r="R60" s="261"/>
      <c r="S60" s="261"/>
      <c r="T60" s="261"/>
      <c r="U60" s="261"/>
      <c r="V60" s="261"/>
    </row>
    <row r="61" spans="2:22" ht="18" customHeight="1" thickTop="1" thickBot="1" x14ac:dyDescent="0.3">
      <c r="B61" s="808">
        <f>+H61*$D$10*C61/100</f>
        <v>141670.39999999999</v>
      </c>
      <c r="C61" s="1531">
        <v>8</v>
      </c>
      <c r="D61" s="266" t="s">
        <v>72</v>
      </c>
      <c r="E61" s="249"/>
      <c r="F61" s="250"/>
      <c r="G61" s="251" t="s">
        <v>190</v>
      </c>
      <c r="H61" s="312">
        <f>+RESUMEN!M8</f>
        <v>32</v>
      </c>
      <c r="I61" s="848"/>
      <c r="J61" s="691"/>
      <c r="K61" s="691"/>
      <c r="L61" s="691"/>
      <c r="M61" s="691"/>
      <c r="N61" s="691"/>
      <c r="O61" s="691"/>
      <c r="P61" s="691"/>
      <c r="Q61" s="261"/>
      <c r="R61" s="261"/>
      <c r="S61" s="261"/>
      <c r="T61" s="261"/>
      <c r="U61" s="261"/>
      <c r="V61" s="261"/>
    </row>
    <row r="62" spans="2:22" ht="15" customHeight="1" thickTop="1" thickBot="1" x14ac:dyDescent="0.3">
      <c r="B62" s="712"/>
      <c r="C62" s="712"/>
      <c r="D62" s="712"/>
      <c r="F62" s="313"/>
      <c r="G62" s="314" t="s">
        <v>201</v>
      </c>
      <c r="H62" s="315">
        <f>((G57+E69)/($D$10-C64-C65))/(100-C61)*100</f>
        <v>30.638232428780189</v>
      </c>
      <c r="I62" s="848"/>
      <c r="J62" s="691"/>
      <c r="K62" s="691"/>
      <c r="L62" s="691"/>
      <c r="M62" s="691"/>
      <c r="N62" s="691"/>
      <c r="O62" s="691"/>
      <c r="P62" s="691"/>
      <c r="Q62" s="261"/>
      <c r="R62" s="261"/>
      <c r="S62" s="261"/>
      <c r="T62" s="261"/>
      <c r="U62" s="261"/>
      <c r="V62" s="261"/>
    </row>
    <row r="63" spans="2:22" ht="16.2" customHeight="1" thickBot="1" x14ac:dyDescent="0.35">
      <c r="B63" s="1716" t="s">
        <v>111</v>
      </c>
      <c r="C63" s="1686"/>
      <c r="D63" s="1687"/>
      <c r="H63" s="849"/>
      <c r="I63" s="850"/>
      <c r="J63" s="691"/>
      <c r="K63" s="691"/>
      <c r="L63" s="691"/>
      <c r="M63" s="691"/>
      <c r="N63" s="691"/>
      <c r="O63" s="691"/>
      <c r="P63" s="691"/>
      <c r="Q63" s="261"/>
      <c r="R63" s="261"/>
      <c r="S63" s="261"/>
      <c r="T63" s="261"/>
      <c r="U63" s="261"/>
      <c r="V63" s="261"/>
    </row>
    <row r="64" spans="2:22" x14ac:dyDescent="0.25">
      <c r="B64" s="21" t="s">
        <v>113</v>
      </c>
      <c r="C64" s="1524"/>
      <c r="D64" s="266" t="s">
        <v>65</v>
      </c>
      <c r="E64" s="848">
        <f>+C64*H61</f>
        <v>0</v>
      </c>
      <c r="H64" s="747"/>
      <c r="I64" s="691"/>
      <c r="J64" s="691"/>
      <c r="K64" s="691"/>
      <c r="L64" s="691"/>
      <c r="M64" s="691"/>
      <c r="N64" s="691"/>
      <c r="O64" s="691"/>
      <c r="P64" s="691"/>
      <c r="Q64" s="261"/>
      <c r="R64" s="261"/>
      <c r="S64" s="261"/>
      <c r="T64" s="261"/>
      <c r="U64" s="261"/>
      <c r="V64" s="261"/>
    </row>
    <row r="65" spans="2:22" x14ac:dyDescent="0.25">
      <c r="B65" s="19" t="s">
        <v>115</v>
      </c>
      <c r="C65" s="1524"/>
      <c r="D65" s="266" t="s">
        <v>65</v>
      </c>
      <c r="E65" s="848">
        <f>+C65*H61</f>
        <v>0</v>
      </c>
      <c r="H65" s="753"/>
      <c r="I65" s="851"/>
      <c r="J65" s="691"/>
      <c r="K65" s="691"/>
      <c r="L65" s="691"/>
      <c r="M65" s="691"/>
      <c r="N65" s="691"/>
      <c r="O65" s="691"/>
      <c r="P65" s="691"/>
      <c r="Q65" s="261"/>
      <c r="R65" s="261"/>
      <c r="S65" s="261"/>
      <c r="T65" s="261"/>
      <c r="U65" s="261"/>
      <c r="V65" s="261"/>
    </row>
    <row r="66" spans="2:22" ht="15" customHeight="1" x14ac:dyDescent="0.25">
      <c r="H66" s="752"/>
      <c r="I66" s="851"/>
      <c r="J66" s="691"/>
      <c r="K66" s="691"/>
      <c r="L66" s="691"/>
      <c r="M66" s="691"/>
      <c r="N66" s="691"/>
      <c r="O66" s="691"/>
      <c r="P66" s="691"/>
      <c r="Q66" s="261"/>
      <c r="R66" s="261"/>
      <c r="S66" s="261"/>
      <c r="T66" s="261"/>
      <c r="U66" s="261"/>
      <c r="V66" s="261"/>
    </row>
    <row r="67" spans="2:22" ht="15" customHeight="1" thickBot="1" x14ac:dyDescent="0.3">
      <c r="G67" s="316"/>
      <c r="H67" s="261"/>
      <c r="I67" s="691"/>
      <c r="J67" s="691"/>
      <c r="K67" s="691"/>
      <c r="L67" s="691"/>
      <c r="M67" s="691"/>
      <c r="N67" s="691"/>
      <c r="O67" s="691"/>
      <c r="P67" s="691"/>
      <c r="Q67" s="261"/>
      <c r="R67" s="261"/>
      <c r="S67" s="261"/>
      <c r="T67" s="261"/>
      <c r="U67" s="261"/>
      <c r="V67" s="261"/>
    </row>
    <row r="68" spans="2:22" ht="16.2" customHeight="1" thickBot="1" x14ac:dyDescent="0.35">
      <c r="B68" s="1751" t="s">
        <v>143</v>
      </c>
      <c r="C68" s="1686"/>
      <c r="D68" s="1686"/>
      <c r="E68" s="1687"/>
      <c r="F68" s="712"/>
      <c r="G68" s="448" t="s">
        <v>145</v>
      </c>
      <c r="H68" s="261"/>
      <c r="I68" s="691"/>
      <c r="J68" s="691"/>
      <c r="K68" s="691"/>
      <c r="L68" s="691"/>
      <c r="M68" s="691"/>
      <c r="N68" s="691"/>
      <c r="O68" s="691"/>
      <c r="P68" s="691"/>
      <c r="Q68" s="261"/>
      <c r="R68" s="261"/>
      <c r="S68" s="261"/>
      <c r="T68" s="261"/>
      <c r="U68" s="261"/>
      <c r="V68" s="261"/>
    </row>
    <row r="69" spans="2:22" x14ac:dyDescent="0.25">
      <c r="B69" s="712"/>
      <c r="C69" s="852">
        <f>+RESUMEN!$D$10</f>
        <v>17</v>
      </c>
      <c r="D69" s="456" t="s">
        <v>144</v>
      </c>
      <c r="E69" s="853">
        <f>+C69*RESUMEN!$F$4</f>
        <v>816000</v>
      </c>
      <c r="F69" s="455" t="s">
        <v>117</v>
      </c>
      <c r="G69" s="854">
        <f>+E69/$D$10</f>
        <v>14.745211420310806</v>
      </c>
      <c r="H69" s="261"/>
      <c r="I69" s="691"/>
      <c r="J69" s="691"/>
      <c r="K69" s="691"/>
      <c r="L69" s="691"/>
      <c r="M69" s="691"/>
      <c r="N69" s="691"/>
      <c r="O69" s="691"/>
      <c r="P69" s="691"/>
      <c r="Q69" s="261"/>
      <c r="R69" s="261"/>
      <c r="S69" s="261"/>
      <c r="T69" s="261"/>
      <c r="U69" s="261"/>
      <c r="V69" s="261"/>
    </row>
    <row r="70" spans="2:22" x14ac:dyDescent="0.25">
      <c r="B70" s="712"/>
      <c r="C70" s="712"/>
      <c r="D70" s="80" t="s">
        <v>118</v>
      </c>
      <c r="E70" s="763">
        <f>+E69/$G$6</f>
        <v>544</v>
      </c>
      <c r="H70" s="1"/>
      <c r="I70" s="691"/>
      <c r="J70" s="691"/>
      <c r="K70" s="691"/>
      <c r="L70" s="691"/>
      <c r="M70" s="691"/>
      <c r="N70" s="691"/>
      <c r="O70" s="691"/>
      <c r="P70" s="691"/>
      <c r="Q70" s="261"/>
      <c r="R70" s="261"/>
      <c r="S70" s="261"/>
      <c r="T70" s="261"/>
      <c r="U70" s="261"/>
      <c r="V70" s="261"/>
    </row>
    <row r="71" spans="2:22" ht="16.2" customHeight="1" thickBot="1" x14ac:dyDescent="0.3">
      <c r="G71" s="31"/>
      <c r="H71" s="261"/>
      <c r="I71" s="691"/>
      <c r="J71" s="691"/>
      <c r="K71" s="691"/>
      <c r="L71" s="691"/>
      <c r="M71" s="691"/>
      <c r="N71" s="691"/>
      <c r="O71" s="691"/>
      <c r="P71" s="691"/>
      <c r="Q71" s="261"/>
      <c r="R71" s="261"/>
      <c r="S71" s="261"/>
      <c r="T71" s="261"/>
      <c r="U71" s="261"/>
      <c r="V71" s="261"/>
    </row>
    <row r="72" spans="2:22" ht="18.600000000000001" customHeight="1" thickTop="1" thickBot="1" x14ac:dyDescent="0.3">
      <c r="B72" s="1690" t="s">
        <v>172</v>
      </c>
      <c r="C72" s="1691"/>
      <c r="D72" s="253">
        <f>+E73/(E70+E57)</f>
        <v>4.4446675387860506E-2</v>
      </c>
      <c r="E72" s="765">
        <f>+H61*$D$10*(100-C61)/100-G57-E69-(C64+C65)*H61</f>
        <v>69331.40000000014</v>
      </c>
      <c r="F72" s="32" t="s">
        <v>117</v>
      </c>
      <c r="G72" s="830">
        <f>+E72/$D$10</f>
        <v>1.2528261655222288</v>
      </c>
      <c r="H72" s="33" t="s">
        <v>77</v>
      </c>
      <c r="I72" s="691"/>
      <c r="J72" s="691"/>
      <c r="K72" s="691"/>
      <c r="L72" s="691"/>
      <c r="M72" s="691"/>
      <c r="N72" s="691"/>
      <c r="O72" s="691"/>
      <c r="P72" s="691"/>
      <c r="Q72" s="261"/>
      <c r="R72" s="261"/>
      <c r="S72" s="261"/>
      <c r="T72" s="261"/>
      <c r="U72" s="261"/>
      <c r="V72" s="261"/>
    </row>
    <row r="73" spans="2:22" ht="16.2" customHeight="1" thickTop="1" x14ac:dyDescent="0.25">
      <c r="D73" s="37" t="s">
        <v>118</v>
      </c>
      <c r="E73" s="746">
        <f>+E72/$G$6</f>
        <v>46.220933333333427</v>
      </c>
      <c r="H73" s="82"/>
      <c r="I73" s="691"/>
      <c r="J73" s="691"/>
      <c r="K73" s="691"/>
      <c r="L73" s="691"/>
      <c r="M73" s="691"/>
      <c r="N73" s="691"/>
      <c r="O73" s="691"/>
      <c r="P73" s="691"/>
      <c r="Q73" s="261"/>
      <c r="R73" s="261"/>
      <c r="S73" s="261"/>
      <c r="T73" s="261"/>
      <c r="U73" s="261"/>
      <c r="V73" s="261"/>
    </row>
    <row r="74" spans="2:22" ht="14.4" customHeight="1" x14ac:dyDescent="0.25">
      <c r="H74" s="261"/>
      <c r="I74" s="261"/>
      <c r="J74" s="711"/>
      <c r="K74" s="711"/>
      <c r="L74" s="244"/>
      <c r="M74" s="244"/>
      <c r="N74" s="244"/>
      <c r="O74" s="244"/>
      <c r="P74" s="244"/>
      <c r="Q74" s="244"/>
      <c r="R74" s="244"/>
      <c r="S74" s="244"/>
      <c r="T74" s="244"/>
      <c r="U74" s="244"/>
      <c r="V74" s="244"/>
    </row>
    <row r="76" spans="2:22" x14ac:dyDescent="0.25">
      <c r="H76" s="261"/>
      <c r="I76" s="244"/>
      <c r="J76" s="244"/>
      <c r="K76" s="244"/>
      <c r="L76" s="244"/>
      <c r="M76" s="244"/>
      <c r="N76" s="244"/>
      <c r="O76" s="244"/>
      <c r="P76" s="244"/>
      <c r="Q76" s="244"/>
      <c r="R76" s="244"/>
      <c r="S76" s="244"/>
      <c r="T76" s="244"/>
      <c r="U76" s="244"/>
      <c r="V76" s="244"/>
    </row>
    <row r="78" spans="2:22" x14ac:dyDescent="0.25">
      <c r="H78" s="261"/>
      <c r="I78" s="245"/>
      <c r="J78" s="245"/>
      <c r="K78" s="245"/>
      <c r="L78" s="245"/>
      <c r="M78" s="245"/>
      <c r="N78" s="245"/>
      <c r="O78" s="245"/>
      <c r="P78" s="245"/>
      <c r="Q78" s="245"/>
      <c r="R78" s="245"/>
      <c r="S78" s="245"/>
      <c r="T78" s="245"/>
      <c r="U78" s="245"/>
      <c r="V78" s="245"/>
    </row>
    <row r="80" spans="2:22" x14ac:dyDescent="0.25">
      <c r="H80" s="261"/>
      <c r="I80" s="244"/>
      <c r="J80" s="244"/>
      <c r="K80" s="244"/>
      <c r="L80" s="244"/>
      <c r="M80" s="244"/>
      <c r="N80" s="244"/>
      <c r="O80" s="244"/>
      <c r="P80" s="244"/>
      <c r="Q80" s="244"/>
      <c r="R80" s="244"/>
      <c r="S80" s="244"/>
      <c r="T80" s="244"/>
      <c r="U80" s="244"/>
      <c r="V80" s="244"/>
    </row>
    <row r="163" s="261" customFormat="1" x14ac:dyDescent="0.25"/>
  </sheetData>
  <sheetProtection algorithmName="SHA-512" hashValue="Tv/4OiJDzI1J/ZwQgHb54QXkwAMLFiXOtPrbyvy+qYwZVPepILav00tk65GufpcM5ByxaTLXmd4NYS6uFApesQ==" saltValue="1pNVKgv6rdXbYQM7Cz8LWQ==" spinCount="100000" sheet="1" objects="1" scenarios="1"/>
  <mergeCells count="7">
    <mergeCell ref="B1:H2"/>
    <mergeCell ref="B72:C72"/>
    <mergeCell ref="B7:D7"/>
    <mergeCell ref="C14:D14"/>
    <mergeCell ref="B60:D60"/>
    <mergeCell ref="B63:D63"/>
    <mergeCell ref="B68:E68"/>
  </mergeCells>
  <pageMargins left="0.7" right="0.7" top="0.75" bottom="0.75" header="0.3" footer="0.3"/>
  <pageSetup paperSize="9" orientation="portrait" verticalDpi="0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Seleccionar artículo correcto" promptTitle="Seleccionar artículo" xr:uid="{B5282BBB-3D2F-4782-A6DC-44299DE1A5F1}">
          <x14:formula1>
            <xm:f>Valores!$C$6:$C$123</xm:f>
          </x14:formula1>
          <xm:sqref>B48:B52 B45:B46 B15:B37 B40:B42</xm:sqref>
        </x14:dataValidation>
      </x14:dataValidations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097C4-09E5-432D-ABB3-A441A17ABB1B}">
  <dimension ref="B1:V73"/>
  <sheetViews>
    <sheetView showGridLines="0" zoomScaleNormal="100" workbookViewId="0">
      <selection activeCell="C52" sqref="C52"/>
    </sheetView>
  </sheetViews>
  <sheetFormatPr baseColWidth="10" defaultColWidth="11.44140625" defaultRowHeight="13.2" x14ac:dyDescent="0.25"/>
  <cols>
    <col min="1" max="1" width="2.44140625" style="261" customWidth="1"/>
    <col min="2" max="2" width="40.6640625" style="261" customWidth="1"/>
    <col min="3" max="3" width="8.44140625" style="261" customWidth="1"/>
    <col min="4" max="4" width="9.6640625" style="261" customWidth="1"/>
    <col min="5" max="5" width="13.33203125" style="1163" customWidth="1"/>
    <col min="6" max="6" width="9.88671875" style="1163" customWidth="1"/>
    <col min="7" max="7" width="21.5546875" style="261" customWidth="1"/>
    <col min="8" max="8" width="8.6640625" style="261" bestFit="1" customWidth="1"/>
    <col min="9" max="11" width="8.6640625" style="261" customWidth="1"/>
    <col min="12" max="12" width="5.6640625" style="261" customWidth="1"/>
    <col min="13" max="13" width="13.109375" style="690" bestFit="1" customWidth="1"/>
    <col min="14" max="16384" width="11.44140625" style="261"/>
  </cols>
  <sheetData>
    <row r="1" spans="2:13" ht="12.75" customHeight="1" x14ac:dyDescent="0.25">
      <c r="B1" s="1806" t="s">
        <v>1220</v>
      </c>
      <c r="C1" s="1808"/>
      <c r="D1" s="1808"/>
      <c r="E1" s="1808"/>
      <c r="F1" s="1808"/>
      <c r="G1" s="1808"/>
      <c r="H1" s="1808"/>
      <c r="M1" s="112" t="s">
        <v>120</v>
      </c>
    </row>
    <row r="2" spans="2:13" ht="12.75" customHeight="1" x14ac:dyDescent="0.25">
      <c r="B2" s="1809"/>
      <c r="C2" s="1808"/>
      <c r="D2" s="1808"/>
      <c r="E2" s="1808"/>
      <c r="F2" s="1808"/>
      <c r="G2" s="1808"/>
      <c r="H2" s="1808"/>
      <c r="M2" s="690" t="s">
        <v>121</v>
      </c>
    </row>
    <row r="3" spans="2:13" ht="12.75" customHeight="1" x14ac:dyDescent="0.25">
      <c r="B3" s="114"/>
      <c r="C3" s="114"/>
      <c r="D3" s="114"/>
      <c r="E3" s="114"/>
      <c r="F3" s="114"/>
      <c r="M3" s="690" t="s">
        <v>64</v>
      </c>
    </row>
    <row r="4" spans="2:13" ht="12.75" customHeight="1" x14ac:dyDescent="0.25">
      <c r="B4" s="114"/>
      <c r="C4" s="114"/>
      <c r="D4" s="114"/>
      <c r="E4" s="114"/>
      <c r="F4" s="114"/>
    </row>
    <row r="5" spans="2:13" ht="13.95" customHeight="1" x14ac:dyDescent="0.25">
      <c r="B5" s="123" t="s">
        <v>64</v>
      </c>
      <c r="C5" s="124"/>
      <c r="D5" s="796">
        <f>RESUMEN!O4</f>
        <v>76500</v>
      </c>
      <c r="E5" s="1176" t="s">
        <v>65</v>
      </c>
      <c r="G5" s="300" t="s">
        <v>186</v>
      </c>
      <c r="K5" s="215"/>
      <c r="M5" s="690" t="s">
        <v>73</v>
      </c>
    </row>
    <row r="6" spans="2:13" ht="13.95" customHeight="1" thickBot="1" x14ac:dyDescent="0.3">
      <c r="G6" s="457">
        <f>+RESUMEN!Q15</f>
        <v>1500</v>
      </c>
      <c r="H6" s="6" t="s">
        <v>187</v>
      </c>
    </row>
    <row r="7" spans="2:13" ht="17.399999999999999" customHeight="1" thickBot="1" x14ac:dyDescent="0.3">
      <c r="B7" s="1685" t="s">
        <v>68</v>
      </c>
      <c r="C7" s="1686"/>
      <c r="D7" s="1687"/>
      <c r="M7" s="690" t="s">
        <v>108</v>
      </c>
    </row>
    <row r="8" spans="2:13" x14ac:dyDescent="0.25">
      <c r="B8" s="187" t="s">
        <v>70</v>
      </c>
      <c r="C8" s="133"/>
      <c r="D8" s="133">
        <f>+RESUMEN!Q14</f>
        <v>3400</v>
      </c>
      <c r="E8" s="1177" t="s">
        <v>65</v>
      </c>
    </row>
    <row r="9" spans="2:13" x14ac:dyDescent="0.25">
      <c r="B9" s="187" t="s">
        <v>71</v>
      </c>
      <c r="C9" s="136"/>
      <c r="D9" s="1656">
        <v>2.1000000000000001E-2</v>
      </c>
      <c r="E9" s="1178" t="s">
        <v>72</v>
      </c>
      <c r="M9" s="690" t="s">
        <v>122</v>
      </c>
    </row>
    <row r="10" spans="2:13" x14ac:dyDescent="0.25">
      <c r="B10" s="137" t="s">
        <v>73</v>
      </c>
      <c r="C10" s="138"/>
      <c r="D10" s="138">
        <f>+D5*(1-D9)-D8</f>
        <v>71493.5</v>
      </c>
      <c r="E10" s="1177" t="s">
        <v>65</v>
      </c>
      <c r="K10"/>
      <c r="M10" s="690" t="s">
        <v>113</v>
      </c>
    </row>
    <row r="11" spans="2:13" x14ac:dyDescent="0.25">
      <c r="M11" s="690" t="s">
        <v>115</v>
      </c>
    </row>
    <row r="12" spans="2:13" ht="13.95" customHeight="1" thickBot="1" x14ac:dyDescent="0.3"/>
    <row r="13" spans="2:13" ht="17.399999999999999" customHeight="1" thickBot="1" x14ac:dyDescent="0.3">
      <c r="B13" s="53" t="s">
        <v>74</v>
      </c>
      <c r="C13" s="703"/>
      <c r="D13" s="704"/>
      <c r="E13" s="141" t="s">
        <v>75</v>
      </c>
      <c r="F13" s="142"/>
      <c r="G13" s="320" t="s">
        <v>76</v>
      </c>
      <c r="H13" s="146" t="s">
        <v>77</v>
      </c>
      <c r="M13" s="690" t="s">
        <v>123</v>
      </c>
    </row>
    <row r="14" spans="2:13" ht="13.95" customHeight="1" thickBot="1" x14ac:dyDescent="0.3">
      <c r="B14" s="1162" t="s">
        <v>78</v>
      </c>
      <c r="C14" s="1754" t="s">
        <v>79</v>
      </c>
      <c r="D14" s="1755"/>
      <c r="E14" s="1161" t="s">
        <v>188</v>
      </c>
      <c r="F14" s="1164" t="s">
        <v>82</v>
      </c>
      <c r="G14" s="151" t="s">
        <v>188</v>
      </c>
      <c r="H14" s="353" t="s">
        <v>188</v>
      </c>
      <c r="M14" s="690" t="s">
        <v>124</v>
      </c>
    </row>
    <row r="15" spans="2:13" x14ac:dyDescent="0.25">
      <c r="B15" s="1653" t="s">
        <v>1095</v>
      </c>
      <c r="C15" s="1520">
        <v>0.5</v>
      </c>
      <c r="D15" s="1360" t="str">
        <f>IFERROR(INDEX(Valores!E:E,MATCH(B15,Valores!C:C,0),1),"")</f>
        <v>Lts/Ha.</v>
      </c>
      <c r="E15" s="1361">
        <f>SUMIF(Valores!C:C,B15,Valores!F:F)</f>
        <v>3.5</v>
      </c>
      <c r="F15" s="1362" t="str">
        <f>IFERROR(INDEX(Valores!G:G,MATCH(B15,Valores!C:C,0),1),"")</f>
        <v>U$S/Lts.</v>
      </c>
      <c r="G15" s="811">
        <f t="shared" ref="G15:G28" si="0">+E15*C15*$G$6</f>
        <v>2625</v>
      </c>
      <c r="H15" s="798">
        <f t="shared" ref="H15:H29" si="1">+G15/$D$10</f>
        <v>3.6716624588249279E-2</v>
      </c>
      <c r="I15" s="217"/>
      <c r="J15" s="217"/>
      <c r="K15" s="217"/>
    </row>
    <row r="16" spans="2:13" x14ac:dyDescent="0.25">
      <c r="B16" s="1654" t="s">
        <v>1198</v>
      </c>
      <c r="C16" s="1521">
        <v>2</v>
      </c>
      <c r="D16" s="1364" t="str">
        <f>IFERROR(INDEX(Valores!E:E,MATCH(B16,Valores!C:C,0),1),"")</f>
        <v>Lts/Ha.</v>
      </c>
      <c r="E16" s="1365">
        <f>SUMIF(Valores!C:C,B16,Valores!F:F)</f>
        <v>4.3</v>
      </c>
      <c r="F16" s="1366" t="str">
        <f>IFERROR(INDEX(Valores!G:G,MATCH(B16,Valores!C:C,0),1),"")</f>
        <v>U$S/Lts.</v>
      </c>
      <c r="G16" s="811">
        <f t="shared" si="0"/>
        <v>12900</v>
      </c>
      <c r="H16" s="798">
        <f t="shared" si="1"/>
        <v>0.18043598369082503</v>
      </c>
      <c r="I16" s="217"/>
      <c r="J16" s="217"/>
      <c r="K16" s="217"/>
    </row>
    <row r="17" spans="2:22" x14ac:dyDescent="0.25">
      <c r="B17" s="1654" t="s">
        <v>1197</v>
      </c>
      <c r="C17" s="1521">
        <v>0.8</v>
      </c>
      <c r="D17" s="1364" t="str">
        <f>IFERROR(INDEX(Valores!E:E,MATCH(B17,Valores!C:C,0),1),"")</f>
        <v>Lts/Ha.</v>
      </c>
      <c r="E17" s="1365">
        <f>SUMIF(Valores!C:C,B17,Valores!F:F)</f>
        <v>4.6500000000000004</v>
      </c>
      <c r="F17" s="1366" t="str">
        <f>IFERROR(INDEX(Valores!G:G,MATCH(B17,Valores!C:C,0),1),"")</f>
        <v>U$S/Lts.</v>
      </c>
      <c r="G17" s="811">
        <f t="shared" si="0"/>
        <v>5580.0000000000009</v>
      </c>
      <c r="H17" s="798">
        <f t="shared" si="1"/>
        <v>7.8049053410449917E-2</v>
      </c>
      <c r="I17" s="217"/>
      <c r="J17" s="217"/>
      <c r="K17" s="217"/>
      <c r="M17" s="690" t="s">
        <v>70</v>
      </c>
    </row>
    <row r="18" spans="2:22" x14ac:dyDescent="0.25">
      <c r="B18" s="1654" t="s">
        <v>1217</v>
      </c>
      <c r="C18" s="1521">
        <v>1.5</v>
      </c>
      <c r="D18" s="1364" t="str">
        <f>IFERROR(INDEX(Valores!E:E,MATCH(B18,Valores!C:C,0),1),"")</f>
        <v>Lts/Ha.</v>
      </c>
      <c r="E18" s="1365">
        <f>SUMIF(Valores!C:C,B18,Valores!F:F)</f>
        <v>16.850000000000001</v>
      </c>
      <c r="F18" s="1366" t="str">
        <f>IFERROR(INDEX(Valores!G:G,MATCH(B18,Valores!C:C,0),1),"")</f>
        <v>U$S/Lts.</v>
      </c>
      <c r="G18" s="811">
        <f t="shared" si="0"/>
        <v>37912.5</v>
      </c>
      <c r="H18" s="798">
        <f t="shared" si="1"/>
        <v>0.53029296369600032</v>
      </c>
      <c r="I18" s="217"/>
      <c r="J18" s="217"/>
      <c r="K18" s="217"/>
    </row>
    <row r="19" spans="2:22" x14ac:dyDescent="0.25">
      <c r="B19" s="1654" t="s">
        <v>1086</v>
      </c>
      <c r="C19" s="1521">
        <v>0.1</v>
      </c>
      <c r="D19" s="1364" t="str">
        <f>IFERROR(INDEX(Valores!E:E,MATCH(B19,Valores!C:C,0),1),"")</f>
        <v>Lts/Ha.</v>
      </c>
      <c r="E19" s="1365">
        <f>SUMIF(Valores!C:C,B19,Valores!F:F)</f>
        <v>21</v>
      </c>
      <c r="F19" s="1366" t="str">
        <f>IFERROR(INDEX(Valores!G:G,MATCH(B19,Valores!C:C,0),1),"")</f>
        <v>U$S/Lts.</v>
      </c>
      <c r="G19" s="811">
        <f t="shared" si="0"/>
        <v>3150</v>
      </c>
      <c r="H19" s="798">
        <f t="shared" si="1"/>
        <v>4.4059949505899136E-2</v>
      </c>
      <c r="I19" s="217"/>
      <c r="J19" s="217"/>
      <c r="K19" s="217"/>
    </row>
    <row r="20" spans="2:22" x14ac:dyDescent="0.25">
      <c r="B20" s="1654" t="s">
        <v>1100</v>
      </c>
      <c r="C20" s="1521">
        <v>0.2</v>
      </c>
      <c r="D20" s="1364" t="str">
        <f>IFERROR(INDEX(Valores!E:E,MATCH(B20,Valores!C:C,0),1),"")</f>
        <v>Lts/Ha.</v>
      </c>
      <c r="E20" s="1365">
        <f>SUMIF(Valores!C:C,B20,Valores!F:F)</f>
        <v>42</v>
      </c>
      <c r="F20" s="1366" t="str">
        <f>IFERROR(INDEX(Valores!G:G,MATCH(B20,Valores!C:C,0),1),"")</f>
        <v>U$S/Lts.</v>
      </c>
      <c r="G20" s="811">
        <f t="shared" si="0"/>
        <v>12600</v>
      </c>
      <c r="H20" s="798">
        <f t="shared" si="1"/>
        <v>0.17623979802359654</v>
      </c>
      <c r="I20" s="217"/>
      <c r="J20" s="217"/>
      <c r="K20" s="217"/>
    </row>
    <row r="21" spans="2:22" x14ac:dyDescent="0.25">
      <c r="B21" s="1654"/>
      <c r="C21" s="1521"/>
      <c r="D21" s="1364" t="str">
        <f>IFERROR(INDEX(Valores!E:E,MATCH(B21,Valores!C:C,0),1),"")</f>
        <v/>
      </c>
      <c r="E21" s="1365">
        <f>SUMIF(Valores!C:C,B21,Valores!F:F)</f>
        <v>0</v>
      </c>
      <c r="F21" s="1366" t="str">
        <f>IFERROR(INDEX(Valores!G:G,MATCH(B21,Valores!C:C,0),1),"")</f>
        <v/>
      </c>
      <c r="G21" s="811">
        <f t="shared" si="0"/>
        <v>0</v>
      </c>
      <c r="H21" s="798">
        <f t="shared" si="1"/>
        <v>0</v>
      </c>
      <c r="I21" s="217"/>
      <c r="J21" s="217"/>
      <c r="K21" s="217"/>
    </row>
    <row r="22" spans="2:22" x14ac:dyDescent="0.25">
      <c r="B22" s="1654" t="s">
        <v>1224</v>
      </c>
      <c r="C22" s="1521">
        <v>2</v>
      </c>
      <c r="D22" s="1364" t="str">
        <f>IFERROR(INDEX(Valores!E:E,MATCH(B22,Valores!C:C,0),1),"")</f>
        <v>Lts/Ha.</v>
      </c>
      <c r="E22" s="1365">
        <f>SUMIF(Valores!C:C,B22,Valores!F:F)</f>
        <v>6.5</v>
      </c>
      <c r="F22" s="1366" t="str">
        <f>IFERROR(INDEX(Valores!G:G,MATCH(B22,Valores!C:C,0),1),"")</f>
        <v>U$S/Lts.</v>
      </c>
      <c r="G22" s="811">
        <f t="shared" si="0"/>
        <v>19500</v>
      </c>
      <c r="H22" s="798">
        <f t="shared" si="1"/>
        <v>0.27275206836985183</v>
      </c>
      <c r="I22" s="217"/>
      <c r="J22" s="217"/>
      <c r="K22" s="217"/>
    </row>
    <row r="23" spans="2:22" x14ac:dyDescent="0.25">
      <c r="B23" s="1654"/>
      <c r="C23" s="1521"/>
      <c r="D23" s="1364" t="str">
        <f>IFERROR(INDEX(Valores!E:E,MATCH(B23,Valores!C:C,0),1),"")</f>
        <v/>
      </c>
      <c r="E23" s="1365">
        <f>SUMIF(Valores!C:C,B23,Valores!F:F)</f>
        <v>0</v>
      </c>
      <c r="F23" s="1366" t="str">
        <f>IFERROR(INDEX(Valores!G:G,MATCH(B23,Valores!C:C,0),1),"")</f>
        <v/>
      </c>
      <c r="G23" s="811">
        <f t="shared" si="0"/>
        <v>0</v>
      </c>
      <c r="H23" s="798">
        <f t="shared" si="1"/>
        <v>0</v>
      </c>
      <c r="I23" s="217"/>
      <c r="J23" s="217"/>
      <c r="K23" s="217"/>
    </row>
    <row r="24" spans="2:22" x14ac:dyDescent="0.25">
      <c r="B24" s="1654"/>
      <c r="C24" s="1521"/>
      <c r="D24" s="1364" t="str">
        <f>IFERROR(INDEX(Valores!E:E,MATCH(B24,Valores!C:C,0),1),"")</f>
        <v/>
      </c>
      <c r="E24" s="1365">
        <f>SUMIF(Valores!C:C,B24,Valores!F:F)</f>
        <v>0</v>
      </c>
      <c r="F24" s="1366" t="str">
        <f>IFERROR(INDEX(Valores!G:G,MATCH(B24,Valores!C:C,0),1),"")</f>
        <v/>
      </c>
      <c r="G24" s="811">
        <f t="shared" si="0"/>
        <v>0</v>
      </c>
      <c r="H24" s="798">
        <f t="shared" si="1"/>
        <v>0</v>
      </c>
    </row>
    <row r="25" spans="2:22" x14ac:dyDescent="0.25">
      <c r="B25" s="1654"/>
      <c r="C25" s="1521"/>
      <c r="D25" s="1364" t="str">
        <f>IFERROR(INDEX(Valores!E:E,MATCH(B25,Valores!C:C,0),1),"")</f>
        <v/>
      </c>
      <c r="E25" s="1365">
        <f>SUMIF(Valores!C:C,B25,Valores!F:F)</f>
        <v>0</v>
      </c>
      <c r="F25" s="1366" t="str">
        <f>IFERROR(INDEX(Valores!G:G,MATCH(B25,Valores!C:C,0),1),"")</f>
        <v/>
      </c>
      <c r="G25" s="811">
        <f t="shared" si="0"/>
        <v>0</v>
      </c>
      <c r="H25" s="798">
        <f t="shared" si="1"/>
        <v>0</v>
      </c>
      <c r="I25" s="217"/>
      <c r="J25" s="217"/>
      <c r="K25" s="217"/>
    </row>
    <row r="26" spans="2:22" x14ac:dyDescent="0.25">
      <c r="B26" s="1654"/>
      <c r="C26" s="1521"/>
      <c r="D26" s="1364" t="str">
        <f>IFERROR(INDEX(Valores!E:E,MATCH(B26,Valores!C:C,0),1),"")</f>
        <v/>
      </c>
      <c r="E26" s="1365">
        <f>SUMIF(Valores!C:C,B26,Valores!F:F)</f>
        <v>0</v>
      </c>
      <c r="F26" s="1366" t="str">
        <f>IFERROR(INDEX(Valores!G:G,MATCH(B26,Valores!C:C,0),1),"")</f>
        <v/>
      </c>
      <c r="G26" s="811">
        <f t="shared" si="0"/>
        <v>0</v>
      </c>
      <c r="H26" s="798">
        <f t="shared" si="1"/>
        <v>0</v>
      </c>
      <c r="I26" s="217"/>
      <c r="J26" s="217"/>
      <c r="K26" s="217"/>
    </row>
    <row r="27" spans="2:22" x14ac:dyDescent="0.25">
      <c r="B27" s="1654"/>
      <c r="C27" s="1521"/>
      <c r="D27" s="1364" t="str">
        <f>IFERROR(INDEX(Valores!E:E,MATCH(B27,Valores!C:C,0),1),"")</f>
        <v/>
      </c>
      <c r="E27" s="1365">
        <f>SUMIF(Valores!C:C,B27,Valores!F:F)</f>
        <v>0</v>
      </c>
      <c r="F27" s="1366" t="str">
        <f>IFERROR(INDEX(Valores!G:G,MATCH(B27,Valores!C:C,0),1),"")</f>
        <v/>
      </c>
      <c r="G27" s="811">
        <f t="shared" si="0"/>
        <v>0</v>
      </c>
      <c r="H27" s="798">
        <f t="shared" si="1"/>
        <v>0</v>
      </c>
      <c r="I27" s="217"/>
      <c r="J27" s="217"/>
      <c r="K27" s="217"/>
      <c r="M27" s="690" t="s">
        <v>130</v>
      </c>
    </row>
    <row r="28" spans="2:22" x14ac:dyDescent="0.25">
      <c r="B28" s="1654"/>
      <c r="C28" s="1521"/>
      <c r="D28" s="1364" t="str">
        <f>IFERROR(INDEX(Valores!E:E,MATCH(B28,Valores!C:C,0),1),"")</f>
        <v/>
      </c>
      <c r="E28" s="1365">
        <f>SUMIF(Valores!C:C,B28,Valores!F:F)</f>
        <v>0</v>
      </c>
      <c r="F28" s="1366" t="str">
        <f>IFERROR(INDEX(Valores!G:G,MATCH(B28,Valores!C:C,0),1),"")</f>
        <v/>
      </c>
      <c r="G28" s="811">
        <f t="shared" si="0"/>
        <v>0</v>
      </c>
      <c r="H28" s="798">
        <f t="shared" si="1"/>
        <v>0</v>
      </c>
      <c r="I28" s="217"/>
      <c r="J28" s="217"/>
      <c r="K28" s="217"/>
    </row>
    <row r="29" spans="2:22" x14ac:dyDescent="0.25">
      <c r="B29" s="1654"/>
      <c r="C29" s="1521"/>
      <c r="D29" s="1364" t="str">
        <f>IFERROR(INDEX(Valores!E:E,MATCH(B29,Valores!C:C,0),1),"")</f>
        <v/>
      </c>
      <c r="E29" s="1365">
        <f>SUMIF(Valores!C:C,B29,Valores!F:F)</f>
        <v>0</v>
      </c>
      <c r="F29" s="1366" t="str">
        <f>IFERROR(INDEX(Valores!G:G,MATCH(B29,Valores!C:C,0),1),"")</f>
        <v/>
      </c>
      <c r="G29" s="811">
        <f>+E29*C29*$G$6</f>
        <v>0</v>
      </c>
      <c r="H29" s="798">
        <f t="shared" si="1"/>
        <v>0</v>
      </c>
      <c r="I29" s="217"/>
      <c r="J29" s="217"/>
      <c r="K29" s="217"/>
    </row>
    <row r="30" spans="2:22" ht="14.4" customHeight="1" thickBot="1" x14ac:dyDescent="0.3">
      <c r="B30" s="172" t="s">
        <v>94</v>
      </c>
      <c r="C30" s="699"/>
      <c r="D30" s="700"/>
      <c r="E30" s="1179">
        <f>+G30/G6</f>
        <v>62.844999999999999</v>
      </c>
      <c r="F30" s="1165" t="s">
        <v>95</v>
      </c>
      <c r="G30" s="822">
        <f>SUM(G15:G29)</f>
        <v>94267.5</v>
      </c>
      <c r="H30" s="802">
        <f>SUM(H15:H29)</f>
        <v>1.318546441284872</v>
      </c>
      <c r="I30" s="690"/>
      <c r="J30" s="690"/>
      <c r="K30" s="690"/>
      <c r="L30" s="690"/>
      <c r="N30" s="690"/>
      <c r="O30" s="690"/>
      <c r="P30" s="690"/>
      <c r="Q30" s="690"/>
      <c r="R30" s="690"/>
      <c r="S30" s="690"/>
      <c r="T30" s="690"/>
      <c r="U30" s="690"/>
      <c r="V30" s="690"/>
    </row>
    <row r="31" spans="2:22" x14ac:dyDescent="0.25">
      <c r="B31" s="1363"/>
      <c r="C31" s="1379"/>
      <c r="D31" s="1364" t="str">
        <f>IFERROR(INDEX(Valores!E:E,MATCH(B31,Valores!C:C,0),1),"")</f>
        <v/>
      </c>
      <c r="E31" s="1365">
        <f>SUMIF(Valores!C:C,B31,Valores!F:F)</f>
        <v>0</v>
      </c>
      <c r="F31" s="1366" t="str">
        <f>IFERROR(INDEX(Valores!G:G,MATCH(B31,Valores!C:C,0),1),"")</f>
        <v/>
      </c>
      <c r="G31" s="1380">
        <f>+E31*C31*$G$6/1000</f>
        <v>0</v>
      </c>
      <c r="H31" s="1381">
        <f>+G31/$D$10</f>
        <v>0</v>
      </c>
      <c r="I31" s="244"/>
      <c r="J31" s="244"/>
      <c r="K31" s="244"/>
      <c r="L31" s="244"/>
      <c r="M31" s="244"/>
      <c r="N31" s="244"/>
      <c r="O31" s="244"/>
      <c r="P31" s="244"/>
      <c r="Q31" s="244"/>
      <c r="R31" s="244"/>
      <c r="S31" s="244"/>
      <c r="T31" s="244"/>
      <c r="U31" s="244"/>
      <c r="V31" s="244"/>
    </row>
    <row r="32" spans="2:22" x14ac:dyDescent="0.25">
      <c r="B32" s="1654" t="s">
        <v>1091</v>
      </c>
      <c r="C32" s="1521">
        <v>50</v>
      </c>
      <c r="D32" s="1364" t="str">
        <f>IFERROR(INDEX(Valores!E:E,MATCH(B32,Valores!C:C,0),1),"")</f>
        <v>Kg/Ha.</v>
      </c>
      <c r="E32" s="1365">
        <f>SUMIF(Valores!C:C,B32,Valores!F:F)</f>
        <v>1080</v>
      </c>
      <c r="F32" s="1366" t="str">
        <f>IFERROR(INDEX(Valores!G:G,MATCH(B32,Valores!C:C,0),1),"")</f>
        <v>U$S/ton.</v>
      </c>
      <c r="G32" s="811">
        <f t="shared" ref="G32:G35" si="2">+E32*C32*$G$6/1000</f>
        <v>81000</v>
      </c>
      <c r="H32" s="798">
        <f t="shared" ref="H32:H35" si="3">+G32/$D$10</f>
        <v>1.1329701301516921</v>
      </c>
      <c r="I32" s="244"/>
      <c r="J32" s="244"/>
      <c r="K32" s="244"/>
      <c r="L32" s="244"/>
      <c r="M32" s="244"/>
      <c r="N32" s="244"/>
      <c r="O32" s="244"/>
      <c r="P32" s="244"/>
      <c r="Q32" s="244"/>
      <c r="R32" s="244"/>
      <c r="S32" s="244"/>
      <c r="T32" s="244"/>
      <c r="U32" s="244"/>
      <c r="V32" s="244"/>
    </row>
    <row r="33" spans="2:22" x14ac:dyDescent="0.25">
      <c r="B33" s="1654" t="s">
        <v>1093</v>
      </c>
      <c r="C33" s="1521">
        <v>100</v>
      </c>
      <c r="D33" s="1364" t="str">
        <f>IFERROR(INDEX(Valores!E:E,MATCH(B33,Valores!C:C,0),1),"")</f>
        <v>Kg/Ha.</v>
      </c>
      <c r="E33" s="1365">
        <f>SUMIF(Valores!C:C,B33,Valores!F:F)</f>
        <v>970</v>
      </c>
      <c r="F33" s="1366" t="str">
        <f>IFERROR(INDEX(Valores!G:G,MATCH(B33,Valores!C:C,0),1),"")</f>
        <v>U$S/ton.</v>
      </c>
      <c r="G33" s="811">
        <f t="shared" si="2"/>
        <v>145500</v>
      </c>
      <c r="H33" s="798">
        <f t="shared" si="3"/>
        <v>2.0351500486058174</v>
      </c>
      <c r="I33" s="244"/>
      <c r="J33" s="244"/>
      <c r="K33" s="244"/>
      <c r="L33" s="244"/>
      <c r="M33" s="244"/>
      <c r="N33" s="244"/>
      <c r="O33" s="244"/>
      <c r="P33" s="244"/>
      <c r="Q33" s="244"/>
      <c r="R33" s="244"/>
      <c r="S33" s="244"/>
      <c r="T33" s="244"/>
      <c r="U33" s="244"/>
      <c r="V33" s="244"/>
    </row>
    <row r="34" spans="2:22" x14ac:dyDescent="0.25">
      <c r="B34" s="1654"/>
      <c r="C34" s="1521"/>
      <c r="D34" s="1364" t="str">
        <f>IFERROR(INDEX(Valores!E:E,MATCH(B34,Valores!C:C,0),1),"")</f>
        <v/>
      </c>
      <c r="E34" s="1365">
        <f>SUMIF(Valores!C:C,B34,Valores!F:F)</f>
        <v>0</v>
      </c>
      <c r="F34" s="1366" t="str">
        <f>IFERROR(INDEX(Valores!G:G,MATCH(B34,Valores!C:C,0),1),"")</f>
        <v/>
      </c>
      <c r="G34" s="811">
        <f t="shared" si="2"/>
        <v>0</v>
      </c>
      <c r="H34" s="798">
        <f t="shared" si="3"/>
        <v>0</v>
      </c>
      <c r="I34" s="244"/>
      <c r="J34" s="244"/>
      <c r="K34" s="244"/>
      <c r="L34" s="244"/>
      <c r="M34" s="244"/>
      <c r="N34" s="244"/>
      <c r="O34" s="244"/>
      <c r="P34" s="244"/>
      <c r="Q34" s="244"/>
      <c r="R34" s="244"/>
      <c r="S34" s="244"/>
      <c r="T34" s="244"/>
      <c r="U34" s="244"/>
      <c r="V34" s="244"/>
    </row>
    <row r="35" spans="2:22" x14ac:dyDescent="0.25">
      <c r="B35" s="1654"/>
      <c r="C35" s="1521"/>
      <c r="D35" s="1364" t="str">
        <f>IFERROR(INDEX(Valores!E:E,MATCH(B35,Valores!C:C,0),1),"")</f>
        <v/>
      </c>
      <c r="E35" s="1365">
        <f>SUMIF(Valores!C:C,B35,Valores!F:F)</f>
        <v>0</v>
      </c>
      <c r="F35" s="1366" t="str">
        <f>IFERROR(INDEX(Valores!G:G,MATCH(B35,Valores!C:C,0),1),"")</f>
        <v/>
      </c>
      <c r="G35" s="811">
        <f t="shared" si="2"/>
        <v>0</v>
      </c>
      <c r="H35" s="798">
        <f t="shared" si="3"/>
        <v>0</v>
      </c>
      <c r="I35" s="244"/>
      <c r="J35" s="244"/>
      <c r="K35" s="244"/>
      <c r="L35" s="244"/>
      <c r="M35" s="244"/>
      <c r="N35" s="244"/>
      <c r="O35" s="244"/>
      <c r="P35" s="244"/>
      <c r="Q35" s="244"/>
      <c r="R35" s="244"/>
      <c r="S35" s="244"/>
      <c r="T35" s="244"/>
      <c r="U35" s="244"/>
      <c r="V35" s="244"/>
    </row>
    <row r="36" spans="2:22" ht="14.4" customHeight="1" thickBot="1" x14ac:dyDescent="0.3">
      <c r="B36" s="1442" t="s">
        <v>100</v>
      </c>
      <c r="C36" s="1447"/>
      <c r="D36" s="1448"/>
      <c r="E36" s="1443">
        <f>+G36/G6</f>
        <v>151</v>
      </c>
      <c r="F36" s="1449" t="s">
        <v>95</v>
      </c>
      <c r="G36" s="1450">
        <f>SUM(G31:G35)</f>
        <v>226500</v>
      </c>
      <c r="H36" s="1451">
        <f>SUM(H31:H35)</f>
        <v>3.1681201787575093</v>
      </c>
      <c r="I36" s="690"/>
      <c r="J36" s="690"/>
      <c r="K36" s="690"/>
      <c r="L36" s="690"/>
      <c r="N36" s="690"/>
      <c r="O36" s="690"/>
      <c r="P36" s="690"/>
      <c r="Q36" s="690"/>
      <c r="R36" s="690"/>
      <c r="S36" s="690"/>
      <c r="T36" s="690"/>
      <c r="U36" s="690"/>
      <c r="V36" s="690"/>
    </row>
    <row r="37" spans="2:22" x14ac:dyDescent="0.25">
      <c r="B37" s="157"/>
      <c r="C37" s="1458"/>
      <c r="D37" s="1458"/>
      <c r="E37" s="1459"/>
      <c r="F37" s="1460"/>
      <c r="G37" s="1461"/>
      <c r="H37" s="856"/>
      <c r="I37" s="217"/>
      <c r="J37" s="217"/>
      <c r="K37" s="217"/>
    </row>
    <row r="38" spans="2:22" ht="14.4" customHeight="1" x14ac:dyDescent="0.25">
      <c r="B38" s="1654" t="s">
        <v>1225</v>
      </c>
      <c r="C38" s="1521">
        <v>11</v>
      </c>
      <c r="D38" s="1377" t="str">
        <f>IFERROR(INDEX(Valores!E:E,MATCH(B38,Valores!C:C,0),1),"")</f>
        <v>Kg/Ha.</v>
      </c>
      <c r="E38" s="1378">
        <f>SUMIF(Valores!C:C,B38,Valores!F:F)</f>
        <v>0.9</v>
      </c>
      <c r="F38" s="1456" t="str">
        <f>IFERROR(INDEX(Valores!G:G,MATCH(B38,Valores!C:C,0),1),"")</f>
        <v>U$S/Kg.</v>
      </c>
      <c r="G38" s="1457">
        <f>+C38*E38*G6</f>
        <v>14850</v>
      </c>
      <c r="H38" s="804">
        <f>G38/$D$10</f>
        <v>0.20771119052781023</v>
      </c>
      <c r="I38" s="217"/>
      <c r="J38" s="217"/>
      <c r="K38" s="217"/>
    </row>
    <row r="39" spans="2:22" ht="14.4" customHeight="1" x14ac:dyDescent="0.25">
      <c r="B39" s="1665"/>
      <c r="C39" s="1607"/>
      <c r="D39" s="1452"/>
      <c r="E39" s="1453"/>
      <c r="F39" s="1454"/>
      <c r="G39" s="1455"/>
      <c r="H39" s="804"/>
      <c r="I39" s="217"/>
      <c r="J39" s="217"/>
      <c r="K39" s="217"/>
    </row>
    <row r="40" spans="2:22" ht="14.4" thickBot="1" x14ac:dyDescent="0.3">
      <c r="B40" s="65" t="s">
        <v>1226</v>
      </c>
      <c r="C40" s="1462"/>
      <c r="D40" s="1462"/>
      <c r="E40" s="1463">
        <f>+G40/G6</f>
        <v>9.9</v>
      </c>
      <c r="F40" s="1464" t="s">
        <v>95</v>
      </c>
      <c r="G40" s="1465">
        <f>SUM(G38:G39)</f>
        <v>14850</v>
      </c>
      <c r="H40" s="804">
        <f t="shared" ref="H40" si="4">G40/$D$10</f>
        <v>0.20771119052781023</v>
      </c>
      <c r="I40" s="217"/>
      <c r="J40" s="217"/>
      <c r="K40" s="217"/>
    </row>
    <row r="41" spans="2:22" ht="13.8" x14ac:dyDescent="0.25">
      <c r="B41" s="1444"/>
      <c r="C41" s="187"/>
      <c r="D41" s="1402"/>
      <c r="E41" s="1445"/>
      <c r="F41" s="1446"/>
      <c r="G41" s="813"/>
      <c r="H41" s="803"/>
      <c r="I41" s="217"/>
      <c r="J41" s="217"/>
      <c r="K41" s="217"/>
    </row>
    <row r="42" spans="2:22" x14ac:dyDescent="0.25">
      <c r="B42" s="1654" t="s">
        <v>59</v>
      </c>
      <c r="C42" s="1521">
        <v>1</v>
      </c>
      <c r="D42" s="1364" t="str">
        <f>IFERROR(INDEX(Valores!E:E,MATCH(B42,Valores!C:C,0),1),"")</f>
        <v>Siembra</v>
      </c>
      <c r="E42" s="1365">
        <f>SUMIF(Valores!C:C,B42,Valores!F:F)</f>
        <v>48</v>
      </c>
      <c r="F42" s="1366" t="str">
        <f>IFERROR(INDEX(Valores!G:G,MATCH(B42,Valores!C:C,0),1),"")</f>
        <v>U$S/Ha.</v>
      </c>
      <c r="G42" s="811">
        <f>+E42*C42*$G$6</f>
        <v>72000</v>
      </c>
      <c r="H42" s="798">
        <f>G42/$D$10</f>
        <v>1.0070845601348375</v>
      </c>
      <c r="I42" s="217"/>
      <c r="J42" s="217"/>
      <c r="K42" s="217"/>
      <c r="M42" s="690" t="s">
        <v>137</v>
      </c>
    </row>
    <row r="43" spans="2:22" x14ac:dyDescent="0.25">
      <c r="B43" s="1654" t="s">
        <v>48</v>
      </c>
      <c r="C43" s="1521">
        <v>1</v>
      </c>
      <c r="D43" s="1364" t="str">
        <f>IFERROR(INDEX(Valores!E:E,MATCH(B43,Valores!C:C,0),1),"")</f>
        <v>Aplicaciones</v>
      </c>
      <c r="E43" s="1365">
        <f>SUMIF(Valores!C:C,B43,Valores!F:F)</f>
        <v>8</v>
      </c>
      <c r="F43" s="1366" t="str">
        <f>IFERROR(INDEX(Valores!G:G,MATCH(B43,Valores!C:C,0),1),"")</f>
        <v>U$S/Ha.</v>
      </c>
      <c r="G43" s="811">
        <f t="shared" ref="G43:G44" si="5">+E43*C43*$G$6</f>
        <v>12000</v>
      </c>
      <c r="H43" s="798">
        <f>G43/$D$10</f>
        <v>0.16784742668913957</v>
      </c>
      <c r="I43" s="217"/>
      <c r="J43" s="217"/>
      <c r="K43" s="217"/>
    </row>
    <row r="44" spans="2:22" x14ac:dyDescent="0.25">
      <c r="B44" s="1654" t="s">
        <v>47</v>
      </c>
      <c r="C44" s="1521">
        <v>1</v>
      </c>
      <c r="D44" s="1364" t="str">
        <f>IFERROR(INDEX(Valores!E:E,MATCH(B44,Valores!C:C,0),1),"")</f>
        <v>Aplicaciones</v>
      </c>
      <c r="E44" s="1365">
        <f>SUMIF(Valores!C:C,B44,Valores!F:F)</f>
        <v>14</v>
      </c>
      <c r="F44" s="1366" t="str">
        <f>IFERROR(INDEX(Valores!G:G,MATCH(B44,Valores!C:C,0),1),"")</f>
        <v>U$S/Ha.</v>
      </c>
      <c r="G44" s="811">
        <f t="shared" si="5"/>
        <v>21000</v>
      </c>
      <c r="H44" s="798">
        <f>G44/$D$10</f>
        <v>0.29373299670599423</v>
      </c>
      <c r="I44" s="217"/>
      <c r="J44" s="217"/>
      <c r="K44" s="217"/>
      <c r="M44" s="690" t="s">
        <v>135</v>
      </c>
    </row>
    <row r="45" spans="2:22" ht="14.4" customHeight="1" thickBot="1" x14ac:dyDescent="0.3">
      <c r="B45" s="65" t="s">
        <v>105</v>
      </c>
      <c r="C45" s="173"/>
      <c r="D45" s="174"/>
      <c r="E45" s="1180">
        <f>+G45/G6</f>
        <v>70</v>
      </c>
      <c r="F45" s="1166" t="s">
        <v>95</v>
      </c>
      <c r="G45" s="812">
        <f>SUM(G42:G44)</f>
        <v>105000</v>
      </c>
      <c r="H45" s="802">
        <f>SUM(H42:H44)</f>
        <v>1.4686649835299714</v>
      </c>
      <c r="I45" s="690"/>
      <c r="J45" s="690"/>
      <c r="K45" s="690"/>
      <c r="L45" s="690"/>
      <c r="N45" s="690"/>
      <c r="O45" s="690"/>
      <c r="P45" s="690"/>
      <c r="Q45" s="690"/>
      <c r="R45" s="690"/>
      <c r="S45" s="690"/>
      <c r="T45" s="690"/>
      <c r="U45" s="690"/>
      <c r="V45" s="690"/>
    </row>
    <row r="46" spans="2:22" x14ac:dyDescent="0.25">
      <c r="B46" s="181"/>
      <c r="C46" s="187"/>
      <c r="D46" s="182"/>
      <c r="E46" s="133"/>
      <c r="F46" s="1167"/>
      <c r="G46" s="813"/>
      <c r="H46" s="803"/>
      <c r="I46" s="690"/>
      <c r="J46" s="690"/>
      <c r="K46" s="690"/>
      <c r="L46" s="690"/>
      <c r="N46" s="690"/>
      <c r="O46" s="690"/>
      <c r="P46" s="690"/>
      <c r="Q46" s="690"/>
      <c r="R46" s="690"/>
      <c r="S46" s="690"/>
      <c r="T46" s="690"/>
      <c r="U46" s="690"/>
      <c r="V46" s="690"/>
    </row>
    <row r="47" spans="2:22" ht="13.95" customHeight="1" x14ac:dyDescent="0.25">
      <c r="B47" s="165" t="s">
        <v>106</v>
      </c>
      <c r="C47" s="1525">
        <v>10</v>
      </c>
      <c r="D47" s="695" t="s">
        <v>107</v>
      </c>
      <c r="E47" s="1181">
        <v>3.6299999999999999E-2</v>
      </c>
      <c r="F47" s="1168" t="s">
        <v>72</v>
      </c>
      <c r="G47" s="823">
        <f>+E47*C47*D5</f>
        <v>27769.5</v>
      </c>
      <c r="H47" s="804">
        <f>G47/$D$10</f>
        <v>0.38841992628700511</v>
      </c>
      <c r="I47" s="217"/>
      <c r="J47" s="217"/>
      <c r="K47" s="217"/>
      <c r="M47" s="690" t="s">
        <v>138</v>
      </c>
    </row>
    <row r="48" spans="2:22" ht="13.95" customHeight="1" thickBot="1" x14ac:dyDescent="0.3">
      <c r="B48" s="198"/>
      <c r="C48" s="199"/>
      <c r="D48" s="200"/>
      <c r="E48" s="1182"/>
      <c r="F48" s="1169"/>
      <c r="G48" s="824"/>
      <c r="H48" s="805"/>
      <c r="I48" s="217"/>
      <c r="J48" s="217"/>
      <c r="K48" s="217"/>
    </row>
    <row r="49" spans="2:13" ht="16.2" customHeight="1" thickBot="1" x14ac:dyDescent="0.3">
      <c r="B49" s="1546" t="s">
        <v>108</v>
      </c>
      <c r="C49" s="1512"/>
      <c r="D49" s="1512"/>
      <c r="E49" s="1547">
        <f>+G49/G6</f>
        <v>312.25799999999998</v>
      </c>
      <c r="F49" s="1548"/>
      <c r="G49" s="1549">
        <f>+G47+G38+G45+G30+G36</f>
        <v>468387</v>
      </c>
      <c r="H49" s="1550">
        <f>+H47+H38+H45+H36+H30</f>
        <v>6.5514627203871685</v>
      </c>
    </row>
    <row r="50" spans="2:13" ht="16.2" customHeight="1" thickBot="1" x14ac:dyDescent="0.3">
      <c r="F50" s="1170"/>
      <c r="G50" s="746"/>
      <c r="M50" s="112" t="s">
        <v>139</v>
      </c>
    </row>
    <row r="51" spans="2:13" ht="16.2" customHeight="1" thickBot="1" x14ac:dyDescent="0.3">
      <c r="B51" s="1708" t="s">
        <v>109</v>
      </c>
      <c r="C51" s="1686"/>
      <c r="D51" s="1687"/>
      <c r="M51" s="690" t="s">
        <v>121</v>
      </c>
    </row>
    <row r="52" spans="2:13" ht="14.4" customHeight="1" thickBot="1" x14ac:dyDescent="0.3">
      <c r="B52" s="808">
        <f>+H53*D10*C52/100</f>
        <v>94371.42</v>
      </c>
      <c r="C52" s="826">
        <v>12</v>
      </c>
      <c r="D52" s="232" t="s">
        <v>72</v>
      </c>
      <c r="M52" s="690" t="s">
        <v>64</v>
      </c>
    </row>
    <row r="53" spans="2:13" ht="16.95" customHeight="1" thickTop="1" thickBot="1" x14ac:dyDescent="0.3">
      <c r="E53" s="1171"/>
      <c r="F53" s="1171"/>
      <c r="G53" s="109" t="s">
        <v>190</v>
      </c>
      <c r="H53" s="257">
        <f>RESUMEN!O8</f>
        <v>11</v>
      </c>
      <c r="M53" s="690" t="s">
        <v>73</v>
      </c>
    </row>
    <row r="54" spans="2:13" ht="16.95" customHeight="1" thickTop="1" thickBot="1" x14ac:dyDescent="0.3">
      <c r="B54" s="1708" t="s">
        <v>111</v>
      </c>
      <c r="C54" s="1686"/>
      <c r="D54" s="1687"/>
      <c r="G54" s="314" t="str">
        <f>+'Maíz 2º'!G49</f>
        <v>Equilibrio 26-27 :</v>
      </c>
      <c r="H54" s="1476">
        <f>((G49)/(D10-C55-C56))/(100-C52)*100</f>
        <v>7.4448440004399634</v>
      </c>
    </row>
    <row r="55" spans="2:13" x14ac:dyDescent="0.25">
      <c r="B55" s="187" t="s">
        <v>113</v>
      </c>
      <c r="C55" s="652"/>
      <c r="D55" s="232" t="s">
        <v>65</v>
      </c>
      <c r="M55" s="690" t="s">
        <v>108</v>
      </c>
    </row>
    <row r="56" spans="2:13" x14ac:dyDescent="0.25">
      <c r="B56" s="214" t="s">
        <v>115</v>
      </c>
      <c r="C56" s="352"/>
      <c r="D56" s="232" t="s">
        <v>65</v>
      </c>
    </row>
    <row r="57" spans="2:13" x14ac:dyDescent="0.25">
      <c r="B57" s="122"/>
    </row>
    <row r="58" spans="2:13" ht="16.2" customHeight="1" x14ac:dyDescent="0.25">
      <c r="B58" s="1466"/>
      <c r="C58" s="1466"/>
      <c r="D58" s="1466"/>
      <c r="E58" s="1467"/>
      <c r="F58" s="1467"/>
      <c r="G58" s="1466"/>
      <c r="H58" s="1466"/>
      <c r="I58" s="1466"/>
      <c r="M58" s="690" t="s">
        <v>124</v>
      </c>
    </row>
    <row r="59" spans="2:13" ht="13.95" customHeight="1" thickBot="1" x14ac:dyDescent="0.3"/>
    <row r="60" spans="2:13" ht="16.2" customHeight="1" thickBot="1" x14ac:dyDescent="0.3">
      <c r="B60" s="1700" t="s">
        <v>143</v>
      </c>
      <c r="C60" s="1686"/>
      <c r="D60" s="1686"/>
      <c r="E60" s="1687"/>
      <c r="G60" s="1374"/>
      <c r="J60" s="244"/>
    </row>
    <row r="61" spans="2:13" ht="13.95" customHeight="1" x14ac:dyDescent="0.25">
      <c r="C61" s="354">
        <v>0</v>
      </c>
      <c r="D61" s="97" t="s">
        <v>144</v>
      </c>
      <c r="E61" s="1187">
        <f>+C61*RESUMEN!F4</f>
        <v>0</v>
      </c>
      <c r="F61" s="1174" t="s">
        <v>117</v>
      </c>
      <c r="G61" s="829">
        <f>+E61/D10</f>
        <v>0</v>
      </c>
      <c r="H61" s="100" t="s">
        <v>77</v>
      </c>
    </row>
    <row r="62" spans="2:13" ht="15.6" customHeight="1" x14ac:dyDescent="0.25">
      <c r="D62" s="37" t="s">
        <v>118</v>
      </c>
      <c r="E62" s="1185">
        <f>+E61/G6</f>
        <v>0</v>
      </c>
      <c r="H62" s="81"/>
    </row>
    <row r="63" spans="2:13" ht="15.6" x14ac:dyDescent="0.25">
      <c r="E63" s="261"/>
      <c r="F63" s="261"/>
      <c r="G63" s="31"/>
    </row>
    <row r="64" spans="2:13" ht="16.2" customHeight="1" thickBot="1" x14ac:dyDescent="0.3">
      <c r="E64" s="261"/>
      <c r="F64" s="261"/>
      <c r="G64" s="1373" t="s">
        <v>1227</v>
      </c>
    </row>
    <row r="65" spans="2:8" ht="19.2" customHeight="1" thickTop="1" thickBot="1" x14ac:dyDescent="0.3">
      <c r="B65" s="1690" t="s">
        <v>172</v>
      </c>
      <c r="C65" s="1691"/>
      <c r="D65" s="253">
        <f>+E66/(E62+E49)</f>
        <v>0.47753263860867196</v>
      </c>
      <c r="E65" s="860">
        <f>(H53*D10)-G49-E61-B52</f>
        <v>223670.08000000002</v>
      </c>
      <c r="F65" s="32" t="s">
        <v>117</v>
      </c>
      <c r="G65" s="830">
        <f>+E65/D10</f>
        <v>3.1285372796128321</v>
      </c>
      <c r="H65" s="33" t="s">
        <v>77</v>
      </c>
    </row>
    <row r="66" spans="2:8" ht="16.2" customHeight="1" thickTop="1" x14ac:dyDescent="0.25">
      <c r="D66" s="37" t="s">
        <v>118</v>
      </c>
      <c r="E66" s="746">
        <f>+E65/G6</f>
        <v>149.11338666666668</v>
      </c>
      <c r="F66" s="261"/>
      <c r="H66" s="35"/>
    </row>
    <row r="67" spans="2:8" x14ac:dyDescent="0.25">
      <c r="E67" s="261"/>
      <c r="F67" s="261"/>
    </row>
    <row r="69" spans="2:8" x14ac:dyDescent="0.25">
      <c r="E69" s="261"/>
      <c r="F69" s="261"/>
    </row>
    <row r="70" spans="2:8" x14ac:dyDescent="0.25">
      <c r="E70" s="261"/>
      <c r="F70" s="261"/>
    </row>
    <row r="71" spans="2:8" x14ac:dyDescent="0.25">
      <c r="E71" s="261"/>
      <c r="F71" s="261"/>
    </row>
    <row r="72" spans="2:8" x14ac:dyDescent="0.25">
      <c r="E72" s="261"/>
      <c r="F72" s="261"/>
    </row>
    <row r="73" spans="2:8" x14ac:dyDescent="0.25">
      <c r="E73" s="261"/>
      <c r="F73" s="261"/>
    </row>
  </sheetData>
  <sheetProtection algorithmName="SHA-512" hashValue="UNntsDMI19EKYoEjsYW8pMcHsqltfn5g0Ci/8yi8/ijhHdNJn23fN3o3qPTv8dK4rHYYMjAdNV1ZeE+TRgaqaA==" saltValue="UUULE2KypusgwbFx0mEiqQ==" spinCount="100000" sheet="1" objects="1" scenarios="1"/>
  <mergeCells count="7">
    <mergeCell ref="B65:C65"/>
    <mergeCell ref="B60:E60"/>
    <mergeCell ref="B1:H2"/>
    <mergeCell ref="B7:D7"/>
    <mergeCell ref="C14:D14"/>
    <mergeCell ref="B51:D51"/>
    <mergeCell ref="B54:D54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Seleccionar artículo correcto" promptTitle="Seleccionar artículo" xr:uid="{691DAEB0-3F0F-4D3F-8F6C-B5D8A2E8617C}">
          <x14:formula1>
            <xm:f>Valores!$C$6:$C$123</xm:f>
          </x14:formula1>
          <xm:sqref>B42:B44 B15:B29 B38 B31:B35</xm:sqref>
        </x14:dataValidation>
      </x14:dataValidations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P88"/>
  <sheetViews>
    <sheetView showGridLines="0" workbookViewId="0">
      <pane ySplit="2" topLeftCell="A3" activePane="bottomLeft" state="frozen"/>
      <selection activeCell="K31" sqref="K31"/>
      <selection pane="bottomLeft" activeCell="D34" sqref="D34"/>
    </sheetView>
  </sheetViews>
  <sheetFormatPr baseColWidth="10" defaultColWidth="11.44140625" defaultRowHeight="13.2" outlineLevelRow="1" x14ac:dyDescent="0.25"/>
  <cols>
    <col min="1" max="1" width="2.44140625" style="261" customWidth="1"/>
    <col min="2" max="2" width="40.6640625" style="261" customWidth="1"/>
    <col min="3" max="3" width="7.88671875" style="261" bestFit="1" customWidth="1"/>
    <col min="4" max="4" width="9.6640625" style="261" customWidth="1"/>
    <col min="5" max="5" width="13.33203125" style="261" bestFit="1" customWidth="1"/>
    <col min="6" max="6" width="8.6640625" style="261" customWidth="1"/>
    <col min="7" max="7" width="21.5546875" style="261" bestFit="1" customWidth="1"/>
    <col min="8" max="8" width="10" style="261" bestFit="1" customWidth="1"/>
    <col min="9" max="9" width="13.109375" style="690" bestFit="1" customWidth="1"/>
    <col min="10" max="12" width="11.44140625" style="261" customWidth="1"/>
    <col min="13" max="16384" width="11.44140625" style="261"/>
  </cols>
  <sheetData>
    <row r="1" spans="2:16" ht="12.75" customHeight="1" x14ac:dyDescent="0.25">
      <c r="B1" s="1810" t="s">
        <v>202</v>
      </c>
      <c r="C1" s="1811"/>
      <c r="D1" s="1811"/>
      <c r="E1" s="1811"/>
      <c r="F1" s="1811"/>
      <c r="G1" s="1811"/>
      <c r="H1" s="1812"/>
      <c r="I1" s="450"/>
      <c r="J1" s="691"/>
      <c r="K1" s="691"/>
      <c r="L1" s="691"/>
      <c r="M1" s="691"/>
      <c r="N1" s="691"/>
      <c r="O1" s="691"/>
      <c r="P1" s="691"/>
    </row>
    <row r="2" spans="2:16" ht="12.75" customHeight="1" thickBot="1" x14ac:dyDescent="0.3">
      <c r="B2" s="1813"/>
      <c r="C2" s="1814"/>
      <c r="D2" s="1814"/>
      <c r="E2" s="1814"/>
      <c r="F2" s="1814"/>
      <c r="G2" s="1814"/>
      <c r="H2" s="1815"/>
      <c r="I2" s="691"/>
      <c r="J2" s="691"/>
      <c r="K2" s="691"/>
      <c r="L2" s="691"/>
      <c r="M2" s="691"/>
      <c r="N2" s="691"/>
      <c r="O2" s="691"/>
      <c r="P2" s="691"/>
    </row>
    <row r="3" spans="2:16" ht="12.75" customHeight="1" x14ac:dyDescent="0.25">
      <c r="B3" s="113"/>
      <c r="C3" s="113"/>
      <c r="D3" s="113"/>
      <c r="E3" s="113"/>
      <c r="F3" s="113"/>
      <c r="G3" s="113"/>
      <c r="H3" s="113"/>
      <c r="I3" s="691"/>
      <c r="J3" s="691"/>
      <c r="K3" s="691"/>
      <c r="L3" s="691"/>
      <c r="M3" s="691"/>
      <c r="N3" s="691"/>
      <c r="O3" s="691"/>
      <c r="P3" s="691"/>
    </row>
    <row r="4" spans="2:16" ht="12.75" customHeight="1" x14ac:dyDescent="0.25">
      <c r="B4" s="114"/>
      <c r="C4" s="114"/>
      <c r="D4" s="114"/>
      <c r="E4" s="114"/>
      <c r="F4" s="114"/>
      <c r="G4" s="114"/>
      <c r="I4" s="691"/>
      <c r="J4" s="691"/>
      <c r="K4" s="691"/>
      <c r="L4" s="691"/>
      <c r="M4" s="691"/>
      <c r="N4" s="691"/>
      <c r="O4" s="691"/>
      <c r="P4" s="691"/>
    </row>
    <row r="5" spans="2:16" ht="13.95" customHeight="1" x14ac:dyDescent="0.25">
      <c r="B5" s="76" t="s">
        <v>64</v>
      </c>
      <c r="C5" s="77"/>
      <c r="D5" s="831">
        <f>+RESUMEN!K4</f>
        <v>48000</v>
      </c>
      <c r="E5" s="78" t="s">
        <v>65</v>
      </c>
      <c r="G5" s="300" t="s">
        <v>186</v>
      </c>
      <c r="I5" s="691"/>
      <c r="J5" s="691"/>
      <c r="K5" s="691"/>
      <c r="L5" s="691"/>
      <c r="M5" s="691"/>
      <c r="N5" s="691"/>
      <c r="O5" s="691"/>
      <c r="P5" s="691"/>
    </row>
    <row r="6" spans="2:16" ht="13.95" customHeight="1" thickBot="1" x14ac:dyDescent="0.3">
      <c r="B6" s="712"/>
      <c r="C6" s="712"/>
      <c r="D6" s="712"/>
      <c r="E6" s="712"/>
      <c r="G6" s="457">
        <f>RESUMEN!Q15</f>
        <v>1500</v>
      </c>
      <c r="H6" s="6" t="s">
        <v>187</v>
      </c>
      <c r="I6" s="691"/>
      <c r="J6" s="691"/>
      <c r="K6" s="691"/>
      <c r="L6" s="691"/>
      <c r="M6" s="691"/>
      <c r="N6" s="691"/>
      <c r="O6" s="691"/>
      <c r="P6" s="691"/>
    </row>
    <row r="7" spans="2:16" ht="17.399999999999999" customHeight="1" thickBot="1" x14ac:dyDescent="0.35">
      <c r="B7" s="1712" t="s">
        <v>68</v>
      </c>
      <c r="C7" s="1686"/>
      <c r="D7" s="1687"/>
      <c r="E7" s="712"/>
      <c r="I7" s="691"/>
      <c r="J7" s="691"/>
      <c r="K7" s="691"/>
      <c r="L7" s="691"/>
      <c r="M7" s="691"/>
      <c r="N7" s="691"/>
      <c r="O7" s="691"/>
      <c r="P7" s="691"/>
    </row>
    <row r="8" spans="2:16" x14ac:dyDescent="0.25">
      <c r="B8" s="21" t="s">
        <v>70</v>
      </c>
      <c r="C8" s="75"/>
      <c r="D8" s="133">
        <f>+RESUMEN!$Q$14</f>
        <v>3400</v>
      </c>
      <c r="E8" s="715" t="s">
        <v>65</v>
      </c>
      <c r="I8" s="691"/>
      <c r="J8" s="691"/>
      <c r="K8" s="691"/>
      <c r="L8" s="691"/>
      <c r="M8" s="691"/>
      <c r="N8" s="691"/>
      <c r="O8" s="691"/>
      <c r="P8" s="691"/>
    </row>
    <row r="9" spans="2:16" x14ac:dyDescent="0.25">
      <c r="B9" s="21" t="s">
        <v>71</v>
      </c>
      <c r="C9" s="116"/>
      <c r="D9" s="1657">
        <v>2.1000000000000001E-2</v>
      </c>
      <c r="E9" s="266" t="s">
        <v>72</v>
      </c>
      <c r="I9" s="691"/>
      <c r="J9" s="691"/>
      <c r="K9" s="691"/>
      <c r="L9" s="691"/>
      <c r="M9" s="691"/>
      <c r="N9" s="691"/>
      <c r="O9" s="691"/>
      <c r="P9" s="691"/>
    </row>
    <row r="10" spans="2:16" x14ac:dyDescent="0.25">
      <c r="B10" s="11" t="s">
        <v>73</v>
      </c>
      <c r="C10" s="12"/>
      <c r="D10" s="12">
        <f>+D5*(1-D9)-D8</f>
        <v>43592</v>
      </c>
      <c r="E10" s="715" t="s">
        <v>65</v>
      </c>
      <c r="I10" s="691"/>
      <c r="J10" s="691"/>
      <c r="K10" s="691"/>
      <c r="L10" s="691"/>
      <c r="M10" s="691"/>
      <c r="N10" s="691"/>
      <c r="O10" s="691"/>
      <c r="P10" s="691"/>
    </row>
    <row r="11" spans="2:16" x14ac:dyDescent="0.25">
      <c r="E11" s="10"/>
      <c r="I11" s="691"/>
      <c r="J11" s="691"/>
      <c r="K11" s="691"/>
      <c r="L11" s="691"/>
      <c r="M11" s="691"/>
      <c r="N11" s="691"/>
      <c r="O11" s="691"/>
      <c r="P11" s="691"/>
    </row>
    <row r="12" spans="2:16" ht="13.95" customHeight="1" thickBot="1" x14ac:dyDescent="0.3">
      <c r="E12" s="10"/>
      <c r="I12" s="691"/>
      <c r="J12" s="691"/>
      <c r="K12" s="691"/>
      <c r="L12" s="691"/>
      <c r="M12" s="691"/>
      <c r="N12" s="691"/>
      <c r="O12" s="691"/>
      <c r="P12" s="691"/>
    </row>
    <row r="13" spans="2:16" ht="17.399999999999999" customHeight="1" thickBot="1" x14ac:dyDescent="0.35">
      <c r="B13" s="53" t="s">
        <v>74</v>
      </c>
      <c r="C13" s="703"/>
      <c r="D13" s="704"/>
      <c r="E13" s="44" t="s">
        <v>75</v>
      </c>
      <c r="F13" s="14"/>
      <c r="G13" s="301" t="s">
        <v>76</v>
      </c>
      <c r="H13" s="40" t="s">
        <v>77</v>
      </c>
      <c r="I13" s="691"/>
      <c r="J13" s="691"/>
      <c r="K13" s="691"/>
      <c r="L13" s="691"/>
      <c r="M13" s="691"/>
      <c r="N13" s="691"/>
      <c r="O13" s="691"/>
      <c r="P13" s="691"/>
    </row>
    <row r="14" spans="2:16" ht="13.95" customHeight="1" thickBot="1" x14ac:dyDescent="0.3">
      <c r="B14" s="1197" t="s">
        <v>78</v>
      </c>
      <c r="C14" s="1816" t="s">
        <v>79</v>
      </c>
      <c r="D14" s="1755"/>
      <c r="E14" s="46" t="s">
        <v>188</v>
      </c>
      <c r="F14" s="47" t="s">
        <v>82</v>
      </c>
      <c r="G14" s="50" t="s">
        <v>188</v>
      </c>
      <c r="H14" s="302" t="s">
        <v>188</v>
      </c>
      <c r="I14" s="691"/>
      <c r="J14" s="691"/>
      <c r="K14" s="691"/>
      <c r="L14" s="691"/>
      <c r="M14" s="691"/>
      <c r="N14" s="691"/>
      <c r="O14" s="691"/>
      <c r="P14" s="691"/>
    </row>
    <row r="15" spans="2:16" x14ac:dyDescent="0.25">
      <c r="B15" s="1653" t="s">
        <v>1095</v>
      </c>
      <c r="C15" s="1520">
        <v>1</v>
      </c>
      <c r="D15" s="1364" t="str">
        <f>IFERROR(INDEX(Valores!E:E,MATCH(B15,Valores!C:C,0),1),"")</f>
        <v>Lts/Ha.</v>
      </c>
      <c r="E15" s="1365">
        <f>SUMIF(Valores!C:C,B15,Valores!F:F)</f>
        <v>3.5</v>
      </c>
      <c r="F15" s="1366" t="str">
        <f>IFERROR(INDEX(Valores!G:G,MATCH(B15,Valores!C:C,0),1),"")</f>
        <v>U$S/Lts.</v>
      </c>
      <c r="G15" s="832">
        <f t="shared" ref="G15" si="0">+E15*C15*$G$6</f>
        <v>5250</v>
      </c>
      <c r="H15" s="1397">
        <f t="shared" ref="H15" si="1">G15/$D$10</f>
        <v>0.12043494219122775</v>
      </c>
      <c r="I15" s="691"/>
      <c r="J15" s="691"/>
      <c r="K15" s="691"/>
      <c r="L15" s="691"/>
      <c r="M15" s="691"/>
      <c r="N15" s="691"/>
      <c r="O15" s="691"/>
      <c r="P15" s="691"/>
    </row>
    <row r="16" spans="2:16" x14ac:dyDescent="0.25">
      <c r="B16" s="1654" t="s">
        <v>1098</v>
      </c>
      <c r="C16" s="1521">
        <v>0.2</v>
      </c>
      <c r="D16" s="1364" t="str">
        <f>IFERROR(INDEX(Valores!E:E,MATCH(B16,Valores!C:C,0),1),"")</f>
        <v>Lts/Ha.</v>
      </c>
      <c r="E16" s="1365">
        <f>SUMIF(Valores!C:C,B16,Valores!F:F)</f>
        <v>18.5</v>
      </c>
      <c r="F16" s="1366" t="str">
        <f>IFERROR(INDEX(Valores!G:G,MATCH(B16,Valores!C:C,0),1),"")</f>
        <v>U$S/Lts.</v>
      </c>
      <c r="G16" s="836">
        <f>+E16*C16*$G$6</f>
        <v>5550</v>
      </c>
      <c r="H16" s="1395">
        <f>G16/$D$10</f>
        <v>0.12731693888786932</v>
      </c>
      <c r="I16" s="691"/>
      <c r="J16" s="691"/>
      <c r="K16" s="691"/>
      <c r="L16" s="691"/>
      <c r="M16" s="691"/>
      <c r="N16" s="691"/>
      <c r="O16" s="691"/>
      <c r="P16" s="691"/>
    </row>
    <row r="17" spans="2:16" x14ac:dyDescent="0.25">
      <c r="B17" s="1654" t="s">
        <v>1100</v>
      </c>
      <c r="C17" s="1521">
        <v>0.2</v>
      </c>
      <c r="D17" s="1364" t="str">
        <f>IFERROR(INDEX(Valores!E:E,MATCH(B17,Valores!C:C,0),1),"")</f>
        <v>Lts/Ha.</v>
      </c>
      <c r="E17" s="1365">
        <f>SUMIF(Valores!C:C,B17,Valores!F:F)</f>
        <v>42</v>
      </c>
      <c r="F17" s="1366" t="str">
        <f>IFERROR(INDEX(Valores!G:G,MATCH(B17,Valores!C:C,0),1),"")</f>
        <v>U$S/Lts.</v>
      </c>
      <c r="G17" s="836">
        <f t="shared" ref="G17:G40" si="2">+E17*C17*$G$6</f>
        <v>12600</v>
      </c>
      <c r="H17" s="1395">
        <f t="shared" ref="H17:H40" si="3">G17/$D$10</f>
        <v>0.2890438612589466</v>
      </c>
      <c r="I17" s="691"/>
      <c r="J17" s="691"/>
      <c r="K17" s="691"/>
      <c r="L17" s="691"/>
      <c r="M17" s="691"/>
      <c r="N17" s="691"/>
      <c r="O17" s="691"/>
      <c r="P17" s="691"/>
    </row>
    <row r="18" spans="2:16" x14ac:dyDescent="0.25">
      <c r="B18" s="1654"/>
      <c r="C18" s="1521"/>
      <c r="D18" s="1364" t="str">
        <f>IFERROR(INDEX(Valores!E:E,MATCH(B18,Valores!C:C,0),1),"")</f>
        <v/>
      </c>
      <c r="E18" s="1365">
        <f>SUMIF(Valores!C:C,B18,Valores!F:F)</f>
        <v>0</v>
      </c>
      <c r="F18" s="1366" t="str">
        <f>IFERROR(INDEX(Valores!G:G,MATCH(B18,Valores!C:C,0),1),"")</f>
        <v/>
      </c>
      <c r="G18" s="836">
        <f t="shared" si="2"/>
        <v>0</v>
      </c>
      <c r="H18" s="1395">
        <f t="shared" si="3"/>
        <v>0</v>
      </c>
      <c r="I18" s="838"/>
      <c r="J18" s="691"/>
      <c r="K18" s="691"/>
      <c r="L18" s="691"/>
      <c r="M18" s="691"/>
      <c r="N18" s="691"/>
      <c r="O18" s="691"/>
      <c r="P18" s="691"/>
    </row>
    <row r="19" spans="2:16" x14ac:dyDescent="0.25">
      <c r="B19" s="1654" t="s">
        <v>1205</v>
      </c>
      <c r="C19" s="1521">
        <v>1.7</v>
      </c>
      <c r="D19" s="1364" t="str">
        <f>IFERROR(INDEX(Valores!E:E,MATCH(B19,Valores!C:C,0),1),"")</f>
        <v>Kg/Ha.</v>
      </c>
      <c r="E19" s="1365">
        <f>SUMIF(Valores!C:C,B19,Valores!F:F)</f>
        <v>6.1</v>
      </c>
      <c r="F19" s="1366" t="str">
        <f>IFERROR(INDEX(Valores!G:G,MATCH(B19,Valores!C:C,0),1),"")</f>
        <v>U$S/Kg.</v>
      </c>
      <c r="G19" s="836">
        <f t="shared" si="2"/>
        <v>15554.999999999998</v>
      </c>
      <c r="H19" s="1395">
        <f t="shared" si="3"/>
        <v>0.35683152872086615</v>
      </c>
      <c r="I19" s="691"/>
      <c r="J19" s="691"/>
      <c r="K19" s="691"/>
      <c r="L19" s="691"/>
      <c r="M19" s="691"/>
      <c r="N19" s="691"/>
      <c r="O19" s="691"/>
      <c r="P19" s="691"/>
    </row>
    <row r="20" spans="2:16" x14ac:dyDescent="0.25">
      <c r="B20" s="1654" t="s">
        <v>1198</v>
      </c>
      <c r="C20" s="1521">
        <v>4.5</v>
      </c>
      <c r="D20" s="1364" t="str">
        <f>IFERROR(INDEX(Valores!E:E,MATCH(B20,Valores!C:C,0),1),"")</f>
        <v>Lts/Ha.</v>
      </c>
      <c r="E20" s="1365">
        <f>SUMIF(Valores!C:C,B20,Valores!F:F)</f>
        <v>4.3</v>
      </c>
      <c r="F20" s="1366" t="str">
        <f>IFERROR(INDEX(Valores!G:G,MATCH(B20,Valores!C:C,0),1),"")</f>
        <v>U$S/Lts.</v>
      </c>
      <c r="G20" s="836">
        <f t="shared" si="2"/>
        <v>29024.999999999996</v>
      </c>
      <c r="H20" s="1395">
        <f t="shared" si="3"/>
        <v>0.66583318040007333</v>
      </c>
      <c r="I20" s="691"/>
      <c r="J20" s="691"/>
      <c r="K20" s="691"/>
      <c r="L20" s="691"/>
      <c r="M20" s="691"/>
      <c r="N20" s="691"/>
      <c r="O20" s="691"/>
      <c r="P20" s="691"/>
    </row>
    <row r="21" spans="2:16" x14ac:dyDescent="0.25">
      <c r="B21" s="1654"/>
      <c r="C21" s="1521"/>
      <c r="D21" s="1364" t="str">
        <f>IFERROR(INDEX(Valores!E:E,MATCH(B21,Valores!C:C,0),1),"")</f>
        <v/>
      </c>
      <c r="E21" s="1365">
        <f>SUMIF(Valores!C:C,B21,Valores!F:F)</f>
        <v>0</v>
      </c>
      <c r="F21" s="1366" t="str">
        <f>IFERROR(INDEX(Valores!G:G,MATCH(B21,Valores!C:C,0),1),"")</f>
        <v/>
      </c>
      <c r="G21" s="836">
        <f t="shared" si="2"/>
        <v>0</v>
      </c>
      <c r="H21" s="1395">
        <f t="shared" si="3"/>
        <v>0</v>
      </c>
      <c r="I21" s="691"/>
      <c r="J21" s="691"/>
      <c r="K21" s="691"/>
      <c r="L21" s="691"/>
      <c r="M21" s="691"/>
      <c r="N21" s="691"/>
      <c r="O21" s="691"/>
      <c r="P21" s="691"/>
    </row>
    <row r="22" spans="2:16" x14ac:dyDescent="0.25">
      <c r="B22" s="1654" t="s">
        <v>1197</v>
      </c>
      <c r="C22" s="1521">
        <v>3</v>
      </c>
      <c r="D22" s="1364" t="str">
        <f>IFERROR(INDEX(Valores!E:E,MATCH(B22,Valores!C:C,0),1),"")</f>
        <v>Lts/Ha.</v>
      </c>
      <c r="E22" s="1365">
        <f>SUMIF(Valores!C:C,B22,Valores!F:F)</f>
        <v>4.6500000000000004</v>
      </c>
      <c r="F22" s="1366" t="str">
        <f>IFERROR(INDEX(Valores!G:G,MATCH(B22,Valores!C:C,0),1),"")</f>
        <v>U$S/Lts.</v>
      </c>
      <c r="G22" s="836">
        <f t="shared" si="2"/>
        <v>20925</v>
      </c>
      <c r="H22" s="1395">
        <f t="shared" si="3"/>
        <v>0.48001926959075059</v>
      </c>
      <c r="I22" s="691"/>
      <c r="J22" s="691"/>
      <c r="K22" s="691"/>
      <c r="L22" s="691"/>
      <c r="M22" s="691"/>
      <c r="N22" s="691"/>
      <c r="O22" s="691"/>
      <c r="P22" s="691"/>
    </row>
    <row r="23" spans="2:16" x14ac:dyDescent="0.25">
      <c r="B23" s="1654" t="s">
        <v>1213</v>
      </c>
      <c r="C23" s="1521">
        <v>1.6</v>
      </c>
      <c r="D23" s="1364" t="str">
        <f>IFERROR(INDEX(Valores!E:E,MATCH(B23,Valores!C:C,0),1),"")</f>
        <v>Lts/Ha.</v>
      </c>
      <c r="E23" s="1365">
        <f>SUMIF(Valores!C:C,B23,Valores!F:F)</f>
        <v>7.5</v>
      </c>
      <c r="F23" s="1366" t="str">
        <f>IFERROR(INDEX(Valores!G:G,MATCH(B23,Valores!C:C,0),1),"")</f>
        <v>U$S/Lts.</v>
      </c>
      <c r="G23" s="836">
        <f t="shared" si="2"/>
        <v>18000</v>
      </c>
      <c r="H23" s="1395">
        <f t="shared" si="3"/>
        <v>0.41291980179849513</v>
      </c>
      <c r="I23" s="691"/>
      <c r="J23" s="691"/>
      <c r="K23" s="691"/>
      <c r="L23" s="691"/>
      <c r="M23" s="691"/>
      <c r="N23" s="691"/>
      <c r="O23" s="691"/>
      <c r="P23" s="691"/>
    </row>
    <row r="24" spans="2:16" x14ac:dyDescent="0.25">
      <c r="B24" s="1654" t="s">
        <v>1201</v>
      </c>
      <c r="C24" s="1521">
        <v>0.5</v>
      </c>
      <c r="D24" s="1364" t="str">
        <f>IFERROR(INDEX(Valores!E:E,MATCH(B24,Valores!C:C,0),1),"")</f>
        <v>Lts/Ha.</v>
      </c>
      <c r="E24" s="1365">
        <f>SUMIF(Valores!C:C,B24,Valores!F:F)</f>
        <v>19.3</v>
      </c>
      <c r="F24" s="1366" t="str">
        <f>IFERROR(INDEX(Valores!G:G,MATCH(B24,Valores!C:C,0),1),"")</f>
        <v>U$S/Lts.</v>
      </c>
      <c r="G24" s="836">
        <f t="shared" si="2"/>
        <v>14475</v>
      </c>
      <c r="H24" s="1395">
        <f t="shared" si="3"/>
        <v>0.33205634061295652</v>
      </c>
      <c r="I24" s="691"/>
      <c r="J24" s="691"/>
      <c r="K24" s="691"/>
      <c r="L24" s="691"/>
      <c r="M24" s="691"/>
      <c r="N24" s="691"/>
      <c r="O24" s="691"/>
      <c r="P24" s="691"/>
    </row>
    <row r="25" spans="2:16" x14ac:dyDescent="0.25">
      <c r="B25" s="1654" t="s">
        <v>1211</v>
      </c>
      <c r="C25" s="1521">
        <v>0.6</v>
      </c>
      <c r="D25" s="1364" t="str">
        <f>IFERROR(INDEX(Valores!E:E,MATCH(B25,Valores!C:C,0),1),"")</f>
        <v>Lts/Ha.</v>
      </c>
      <c r="E25" s="1365">
        <f>SUMIF(Valores!C:C,B25,Valores!F:F)</f>
        <v>15</v>
      </c>
      <c r="F25" s="1366" t="str">
        <f>IFERROR(INDEX(Valores!G:G,MATCH(B25,Valores!C:C,0),1),"")</f>
        <v>U$S/Lts.</v>
      </c>
      <c r="G25" s="836">
        <f t="shared" si="2"/>
        <v>13500</v>
      </c>
      <c r="H25" s="1395">
        <f t="shared" si="3"/>
        <v>0.30968985134887134</v>
      </c>
      <c r="I25" s="691"/>
      <c r="J25" s="691"/>
      <c r="K25" s="691"/>
      <c r="L25" s="691"/>
      <c r="M25" s="691"/>
      <c r="N25" s="691"/>
      <c r="O25" s="691"/>
      <c r="P25" s="691"/>
    </row>
    <row r="26" spans="2:16" x14ac:dyDescent="0.25">
      <c r="B26" s="1654"/>
      <c r="C26" s="1521"/>
      <c r="D26" s="1364" t="str">
        <f>IFERROR(INDEX(Valores!E:E,MATCH(B26,Valores!C:C,0),1),"")</f>
        <v/>
      </c>
      <c r="E26" s="1365">
        <f>SUMIF(Valores!C:C,B26,Valores!F:F)</f>
        <v>0</v>
      </c>
      <c r="F26" s="1366" t="str">
        <f>IFERROR(INDEX(Valores!G:G,MATCH(B26,Valores!C:C,0),1),"")</f>
        <v/>
      </c>
      <c r="G26" s="836">
        <f t="shared" si="2"/>
        <v>0</v>
      </c>
      <c r="H26" s="1395">
        <f t="shared" si="3"/>
        <v>0</v>
      </c>
      <c r="I26" s="691"/>
      <c r="J26" s="691"/>
      <c r="K26" s="691"/>
      <c r="L26" s="691"/>
      <c r="M26" s="691"/>
      <c r="N26" s="691"/>
      <c r="O26" s="691"/>
      <c r="P26" s="691"/>
    </row>
    <row r="27" spans="2:16" x14ac:dyDescent="0.25">
      <c r="B27" s="1654" t="s">
        <v>1203</v>
      </c>
      <c r="C27" s="1521">
        <v>1.1000000000000001</v>
      </c>
      <c r="D27" s="1364" t="str">
        <f>IFERROR(INDEX(Valores!E:E,MATCH(B27,Valores!C:C,0),1),"")</f>
        <v>Lts/Ha.</v>
      </c>
      <c r="E27" s="1365">
        <f>SUMIF(Valores!C:C,B27,Valores!F:F)</f>
        <v>7.8</v>
      </c>
      <c r="F27" s="1366" t="str">
        <f>IFERROR(INDEX(Valores!G:G,MATCH(B27,Valores!C:C,0),1),"")</f>
        <v>U$S/Lts.</v>
      </c>
      <c r="G27" s="836">
        <f t="shared" si="2"/>
        <v>12870</v>
      </c>
      <c r="H27" s="1395">
        <f t="shared" si="3"/>
        <v>0.29523765828592402</v>
      </c>
      <c r="I27" s="691"/>
      <c r="J27" s="691"/>
      <c r="K27" s="691"/>
      <c r="L27" s="691"/>
      <c r="M27" s="691"/>
      <c r="N27" s="691"/>
      <c r="O27" s="691"/>
      <c r="P27" s="691"/>
    </row>
    <row r="28" spans="2:16" x14ac:dyDescent="0.25">
      <c r="B28" s="1654" t="s">
        <v>1204</v>
      </c>
      <c r="C28" s="1521">
        <v>0.2</v>
      </c>
      <c r="D28" s="1364" t="str">
        <f>IFERROR(INDEX(Valores!E:E,MATCH(B28,Valores!C:C,0),1),"")</f>
        <v>Lts/Ha.</v>
      </c>
      <c r="E28" s="1365">
        <f>SUMIF(Valores!C:C,B28,Valores!F:F)</f>
        <v>22</v>
      </c>
      <c r="F28" s="1366" t="str">
        <f>IFERROR(INDEX(Valores!G:G,MATCH(B28,Valores!C:C,0),1),"")</f>
        <v>U$S/Lts.</v>
      </c>
      <c r="G28" s="836">
        <f t="shared" si="2"/>
        <v>6600.0000000000009</v>
      </c>
      <c r="H28" s="1395">
        <f t="shared" si="3"/>
        <v>0.15140392732611491</v>
      </c>
      <c r="I28" s="691"/>
      <c r="J28" s="691"/>
      <c r="K28" s="691"/>
      <c r="L28" s="691"/>
      <c r="M28" s="691"/>
      <c r="N28" s="691"/>
      <c r="O28" s="691"/>
      <c r="P28" s="691"/>
    </row>
    <row r="29" spans="2:16" x14ac:dyDescent="0.25">
      <c r="B29" s="1654"/>
      <c r="C29" s="1521"/>
      <c r="D29" s="1364" t="str">
        <f>IFERROR(INDEX(Valores!E:E,MATCH(B29,Valores!C:C,0),1),"")</f>
        <v/>
      </c>
      <c r="E29" s="1365">
        <f>SUMIF(Valores!C:C,B29,Valores!F:F)</f>
        <v>0</v>
      </c>
      <c r="F29" s="1366" t="str">
        <f>IFERROR(INDEX(Valores!G:G,MATCH(B29,Valores!C:C,0),1),"")</f>
        <v/>
      </c>
      <c r="G29" s="836">
        <f t="shared" si="2"/>
        <v>0</v>
      </c>
      <c r="H29" s="1395">
        <f t="shared" si="3"/>
        <v>0</v>
      </c>
      <c r="I29" s="691"/>
      <c r="J29" s="691"/>
      <c r="K29" s="691"/>
      <c r="L29" s="691"/>
      <c r="M29" s="691"/>
      <c r="N29" s="691"/>
      <c r="O29" s="691"/>
      <c r="P29" s="691"/>
    </row>
    <row r="30" spans="2:16" x14ac:dyDescent="0.25">
      <c r="B30" s="1654" t="s">
        <v>1208</v>
      </c>
      <c r="C30" s="1521">
        <v>1.8</v>
      </c>
      <c r="D30" s="1364" t="str">
        <f>IFERROR(INDEX(Valores!E:E,MATCH(B30,Valores!C:C,0),1),"")</f>
        <v>Lts/Ha.</v>
      </c>
      <c r="E30" s="1365">
        <f>SUMIF(Valores!C:C,B30,Valores!F:F)</f>
        <v>5.3</v>
      </c>
      <c r="F30" s="1366" t="str">
        <f>IFERROR(INDEX(Valores!G:G,MATCH(B30,Valores!C:C,0),1),"")</f>
        <v>U$S/Lts.</v>
      </c>
      <c r="G30" s="836">
        <f t="shared" si="2"/>
        <v>14309.999999999998</v>
      </c>
      <c r="H30" s="1395">
        <f t="shared" si="3"/>
        <v>0.3282712424298036</v>
      </c>
      <c r="I30" s="691"/>
      <c r="J30" s="691"/>
      <c r="K30" s="691"/>
      <c r="L30" s="691"/>
      <c r="M30" s="691"/>
      <c r="N30" s="691"/>
      <c r="O30" s="691"/>
      <c r="P30" s="691"/>
    </row>
    <row r="31" spans="2:16" x14ac:dyDescent="0.25">
      <c r="B31" s="1654" t="s">
        <v>1148</v>
      </c>
      <c r="C31" s="1521">
        <v>2.5</v>
      </c>
      <c r="D31" s="1364" t="str">
        <f>IFERROR(INDEX(Valores!E:E,MATCH(B31,Valores!C:C,0),1),"")</f>
        <v>Lts/Ha.</v>
      </c>
      <c r="E31" s="1365">
        <f>SUMIF(Valores!C:C,B31,Valores!F:F)</f>
        <v>3.9</v>
      </c>
      <c r="F31" s="1366" t="str">
        <f>IFERROR(INDEX(Valores!G:G,MATCH(B31,Valores!C:C,0),1),"")</f>
        <v>U$S/Lts.</v>
      </c>
      <c r="G31" s="836">
        <f t="shared" si="2"/>
        <v>14625</v>
      </c>
      <c r="H31" s="1395">
        <f t="shared" si="3"/>
        <v>0.33549733896127731</v>
      </c>
      <c r="I31" s="691"/>
      <c r="J31" s="691"/>
      <c r="K31" s="691"/>
      <c r="L31" s="691"/>
      <c r="M31" s="691"/>
      <c r="N31" s="691"/>
      <c r="O31" s="691"/>
      <c r="P31" s="691"/>
    </row>
    <row r="32" spans="2:16" x14ac:dyDescent="0.25">
      <c r="B32" s="1654"/>
      <c r="C32" s="1521"/>
      <c r="D32" s="1364" t="str">
        <f>IFERROR(INDEX(Valores!E:E,MATCH(B32,Valores!C:C,0),1),"")</f>
        <v/>
      </c>
      <c r="E32" s="1365">
        <f>SUMIF(Valores!C:C,B32,Valores!F:F)</f>
        <v>0</v>
      </c>
      <c r="F32" s="1366" t="str">
        <f>IFERROR(INDEX(Valores!G:G,MATCH(B32,Valores!C:C,0),1),"")</f>
        <v/>
      </c>
      <c r="G32" s="836">
        <f t="shared" si="2"/>
        <v>0</v>
      </c>
      <c r="H32" s="1395">
        <f t="shared" si="3"/>
        <v>0</v>
      </c>
      <c r="I32" s="691"/>
      <c r="J32" s="691"/>
      <c r="K32" s="691"/>
      <c r="L32" s="691"/>
      <c r="M32" s="691"/>
      <c r="N32" s="691"/>
      <c r="O32" s="691"/>
      <c r="P32" s="691"/>
    </row>
    <row r="33" spans="2:16" x14ac:dyDescent="0.25">
      <c r="B33" s="1654" t="s">
        <v>1085</v>
      </c>
      <c r="C33" s="1521">
        <v>0.3</v>
      </c>
      <c r="D33" s="1364" t="str">
        <f>IFERROR(INDEX(Valores!E:E,MATCH(B33,Valores!C:C,0),1),"")</f>
        <v>Lts/Ha.</v>
      </c>
      <c r="E33" s="1365">
        <f>SUMIF(Valores!C:C,B33,Valores!F:F)</f>
        <v>30.5</v>
      </c>
      <c r="F33" s="1366" t="str">
        <f>IFERROR(INDEX(Valores!G:G,MATCH(B33,Valores!C:C,0),1),"")</f>
        <v>U$S/Lts.</v>
      </c>
      <c r="G33" s="836">
        <f t="shared" si="2"/>
        <v>13725</v>
      </c>
      <c r="H33" s="1395">
        <f t="shared" si="3"/>
        <v>0.31485134887135252</v>
      </c>
      <c r="I33" s="691"/>
      <c r="J33" s="691"/>
      <c r="K33" s="691"/>
      <c r="L33" s="691"/>
      <c r="M33" s="691"/>
      <c r="N33" s="691"/>
      <c r="O33" s="691"/>
      <c r="P33" s="691"/>
    </row>
    <row r="34" spans="2:16" x14ac:dyDescent="0.25">
      <c r="B34" s="1654" t="s">
        <v>1113</v>
      </c>
      <c r="C34" s="1521">
        <v>0.6</v>
      </c>
      <c r="D34" s="1364" t="str">
        <f>IFERROR(INDEX(Valores!E:E,MATCH(B34,Valores!C:C,0),1),"")</f>
        <v>Lts/Ha.</v>
      </c>
      <c r="E34" s="1365">
        <f>SUMIF(Valores!C:C,B34,Valores!F:F)</f>
        <v>23</v>
      </c>
      <c r="F34" s="1366" t="str">
        <f>IFERROR(INDEX(Valores!G:G,MATCH(B34,Valores!C:C,0),1),"")</f>
        <v>U$S/Lts.</v>
      </c>
      <c r="G34" s="836">
        <f t="shared" si="2"/>
        <v>20700</v>
      </c>
      <c r="H34" s="1395">
        <f t="shared" si="3"/>
        <v>0.4748577720682694</v>
      </c>
      <c r="I34" s="691"/>
      <c r="J34" s="691"/>
      <c r="K34" s="691"/>
      <c r="L34" s="691"/>
      <c r="M34" s="691"/>
      <c r="N34" s="691"/>
      <c r="O34" s="691"/>
      <c r="P34" s="691"/>
    </row>
    <row r="35" spans="2:16" x14ac:dyDescent="0.25">
      <c r="B35" s="1654"/>
      <c r="C35" s="1521"/>
      <c r="D35" s="1364" t="str">
        <f>IFERROR(INDEX(Valores!E:E,MATCH(B35,Valores!C:C,0),1),"")</f>
        <v/>
      </c>
      <c r="E35" s="1365">
        <f>SUMIF(Valores!C:C,B35,Valores!F:F)</f>
        <v>0</v>
      </c>
      <c r="F35" s="1366" t="str">
        <f>IFERROR(INDEX(Valores!G:G,MATCH(B35,Valores!C:C,0),1),"")</f>
        <v/>
      </c>
      <c r="G35" s="836">
        <f t="shared" si="2"/>
        <v>0</v>
      </c>
      <c r="H35" s="1395">
        <f t="shared" si="3"/>
        <v>0</v>
      </c>
      <c r="I35" s="691"/>
      <c r="J35" s="691"/>
      <c r="K35" s="691"/>
      <c r="L35" s="691"/>
      <c r="M35" s="691"/>
      <c r="N35" s="691"/>
      <c r="O35" s="691"/>
      <c r="P35" s="691"/>
    </row>
    <row r="36" spans="2:16" x14ac:dyDescent="0.25">
      <c r="B36" s="1654" t="s">
        <v>1107</v>
      </c>
      <c r="C36" s="1521">
        <v>1</v>
      </c>
      <c r="D36" s="1364" t="str">
        <f>IFERROR(INDEX(Valores!E:E,MATCH(B36,Valores!C:C,0),1),"")</f>
        <v>Dosis/Ha.</v>
      </c>
      <c r="E36" s="1365">
        <f>SUMIF(Valores!C:C,B36,Valores!F:F)</f>
        <v>4.5</v>
      </c>
      <c r="F36" s="1366" t="str">
        <f>IFERROR(INDEX(Valores!G:G,MATCH(B36,Valores!C:C,0),1),"")</f>
        <v>U$S/Dosis</v>
      </c>
      <c r="G36" s="836">
        <f t="shared" si="2"/>
        <v>6750</v>
      </c>
      <c r="H36" s="1395">
        <f t="shared" si="3"/>
        <v>0.15484492567443567</v>
      </c>
      <c r="I36" s="691"/>
      <c r="J36" s="691"/>
      <c r="K36" s="691"/>
      <c r="L36" s="691"/>
      <c r="M36" s="691"/>
      <c r="N36" s="691"/>
      <c r="O36" s="691"/>
      <c r="P36" s="691"/>
    </row>
    <row r="37" spans="2:16" x14ac:dyDescent="0.25">
      <c r="B37" s="1654"/>
      <c r="C37" s="1521"/>
      <c r="D37" s="1364" t="str">
        <f>IFERROR(INDEX(Valores!E:E,MATCH(B37,Valores!C:C,0),1),"")</f>
        <v/>
      </c>
      <c r="E37" s="1365">
        <f>SUMIF(Valores!C:C,B37,Valores!F:F)</f>
        <v>0</v>
      </c>
      <c r="F37" s="1366" t="str">
        <f>IFERROR(INDEX(Valores!G:G,MATCH(B37,Valores!C:C,0),1),"")</f>
        <v/>
      </c>
      <c r="G37" s="836">
        <f t="shared" si="2"/>
        <v>0</v>
      </c>
      <c r="H37" s="1395">
        <f t="shared" si="3"/>
        <v>0</v>
      </c>
      <c r="I37" s="691"/>
      <c r="J37" s="691"/>
      <c r="K37" s="691"/>
      <c r="L37" s="691"/>
      <c r="M37" s="691"/>
      <c r="N37" s="691"/>
      <c r="O37" s="691"/>
      <c r="P37" s="691"/>
    </row>
    <row r="38" spans="2:16" x14ac:dyDescent="0.25">
      <c r="B38" s="1654"/>
      <c r="C38" s="1521"/>
      <c r="D38" s="1364" t="str">
        <f>IFERROR(INDEX(Valores!E:E,MATCH(B38,Valores!C:C,0),1),"")</f>
        <v/>
      </c>
      <c r="E38" s="1365">
        <f>SUMIF(Valores!C:C,B38,Valores!F:F)</f>
        <v>0</v>
      </c>
      <c r="F38" s="1366" t="str">
        <f>IFERROR(INDEX(Valores!G:G,MATCH(B38,Valores!C:C,0),1),"")</f>
        <v/>
      </c>
      <c r="G38" s="836">
        <f t="shared" si="2"/>
        <v>0</v>
      </c>
      <c r="H38" s="1395">
        <f t="shared" si="3"/>
        <v>0</v>
      </c>
      <c r="I38" s="691"/>
      <c r="J38" s="691"/>
      <c r="K38" s="691"/>
      <c r="L38" s="691"/>
      <c r="M38" s="691"/>
      <c r="N38" s="691"/>
      <c r="O38" s="691"/>
      <c r="P38" s="691"/>
    </row>
    <row r="39" spans="2:16" x14ac:dyDescent="0.25">
      <c r="B39" s="1654"/>
      <c r="C39" s="1521"/>
      <c r="D39" s="1364" t="str">
        <f>IFERROR(INDEX(Valores!E:E,MATCH(B39,Valores!C:C,0),1),"")</f>
        <v/>
      </c>
      <c r="E39" s="1365">
        <f>SUMIF(Valores!C:C,B39,Valores!F:F)</f>
        <v>0</v>
      </c>
      <c r="F39" s="1366" t="str">
        <f>IFERROR(INDEX(Valores!G:G,MATCH(B39,Valores!C:C,0),1),"")</f>
        <v/>
      </c>
      <c r="G39" s="836">
        <f t="shared" si="2"/>
        <v>0</v>
      </c>
      <c r="H39" s="1395">
        <f t="shared" si="3"/>
        <v>0</v>
      </c>
      <c r="I39" s="691"/>
      <c r="J39" s="691"/>
      <c r="K39" s="691"/>
      <c r="L39" s="691"/>
      <c r="M39" s="691"/>
      <c r="N39" s="691"/>
      <c r="O39" s="691"/>
      <c r="P39" s="691"/>
    </row>
    <row r="40" spans="2:16" x14ac:dyDescent="0.25">
      <c r="B40" s="1654"/>
      <c r="C40" s="1521"/>
      <c r="D40" s="1364" t="str">
        <f>IFERROR(INDEX(Valores!E:E,MATCH(B40,Valores!C:C,0),1),"")</f>
        <v/>
      </c>
      <c r="E40" s="1365">
        <f>SUMIF(Valores!C:C,B40,Valores!F:F)</f>
        <v>0</v>
      </c>
      <c r="F40" s="1366" t="str">
        <f>IFERROR(INDEX(Valores!G:G,MATCH(B40,Valores!C:C,0),1),"")</f>
        <v/>
      </c>
      <c r="G40" s="836">
        <f t="shared" si="2"/>
        <v>0</v>
      </c>
      <c r="H40" s="1395">
        <f t="shared" si="3"/>
        <v>0</v>
      </c>
      <c r="I40" s="691"/>
      <c r="J40" s="691"/>
      <c r="K40" s="691"/>
      <c r="L40" s="691"/>
      <c r="M40" s="691"/>
      <c r="N40" s="691"/>
      <c r="O40" s="691"/>
      <c r="P40" s="691"/>
    </row>
    <row r="41" spans="2:16" ht="14.4" customHeight="1" thickBot="1" x14ac:dyDescent="0.3">
      <c r="B41" s="65" t="s">
        <v>94</v>
      </c>
      <c r="C41" s="1193"/>
      <c r="D41" s="702"/>
      <c r="E41" s="1194">
        <f>+G41/$G$6</f>
        <v>149.63999999999999</v>
      </c>
      <c r="F41" s="1195" t="s">
        <v>95</v>
      </c>
      <c r="G41" s="1396">
        <f>SUM(G15:G40)</f>
        <v>224460</v>
      </c>
      <c r="H41" s="1396">
        <f>SUM(H15:H40)</f>
        <v>5.1491099284272348</v>
      </c>
      <c r="I41" s="691"/>
      <c r="J41" s="691"/>
      <c r="K41" s="691"/>
      <c r="L41" s="691"/>
      <c r="M41" s="691"/>
      <c r="N41" s="691"/>
      <c r="O41" s="691"/>
      <c r="P41" s="691"/>
    </row>
    <row r="42" spans="2:16" x14ac:dyDescent="0.25">
      <c r="B42" s="62"/>
      <c r="C42" s="776"/>
      <c r="D42" s="111"/>
      <c r="E42" s="16"/>
      <c r="F42" s="681"/>
      <c r="G42" s="834"/>
      <c r="H42" s="1398"/>
      <c r="I42" s="691"/>
      <c r="J42" s="691"/>
      <c r="K42" s="691"/>
      <c r="L42" s="691"/>
      <c r="M42" s="691"/>
      <c r="N42" s="691"/>
      <c r="O42" s="691"/>
      <c r="P42" s="691"/>
    </row>
    <row r="43" spans="2:16" x14ac:dyDescent="0.25">
      <c r="B43" s="1654" t="s">
        <v>1090</v>
      </c>
      <c r="C43" s="1521">
        <v>80</v>
      </c>
      <c r="D43" s="1364" t="str">
        <f>IFERROR(INDEX(Valores!E:E,MATCH(B43,Valores!C:C,0),1),"")</f>
        <v>Kg/Ha.</v>
      </c>
      <c r="E43" s="1365">
        <f>SUMIF(Valores!C:C,B43,Valores!F:F)</f>
        <v>1100</v>
      </c>
      <c r="F43" s="1366" t="str">
        <f>IFERROR(INDEX(Valores!G:G,MATCH(B43,Valores!C:C,0),1),"")</f>
        <v>U$S/ton.</v>
      </c>
      <c r="G43" s="836">
        <f>+E43*C43*$G$6/1000</f>
        <v>132000</v>
      </c>
      <c r="H43" s="1395">
        <f>G43/$D$10</f>
        <v>3.0280785465222975</v>
      </c>
      <c r="I43" s="691"/>
      <c r="J43" s="691"/>
      <c r="K43" s="691"/>
      <c r="L43" s="691"/>
      <c r="M43" s="691"/>
      <c r="N43" s="691"/>
      <c r="O43" s="691"/>
      <c r="P43" s="691"/>
    </row>
    <row r="44" spans="2:16" x14ac:dyDescent="0.25">
      <c r="B44" s="1654"/>
      <c r="C44" s="1521"/>
      <c r="D44" s="1364" t="str">
        <f>IFERROR(INDEX(Valores!E:E,MATCH(B44,Valores!C:C,0),1),"")</f>
        <v/>
      </c>
      <c r="E44" s="1365">
        <f>SUMIF(Valores!C:C,B44,Valores!F:F)</f>
        <v>0</v>
      </c>
      <c r="F44" s="1366" t="str">
        <f>IFERROR(INDEX(Valores!G:G,MATCH(B44,Valores!C:C,0),1),"")</f>
        <v/>
      </c>
      <c r="G44" s="836">
        <f>+E44*C44*$G$6/1000</f>
        <v>0</v>
      </c>
      <c r="H44" s="1395">
        <f>G44/$D$10</f>
        <v>0</v>
      </c>
      <c r="I44" s="691"/>
      <c r="J44" s="691"/>
      <c r="K44" s="691"/>
      <c r="L44" s="691"/>
      <c r="M44" s="691"/>
      <c r="N44" s="691"/>
      <c r="O44" s="691"/>
      <c r="P44" s="691"/>
    </row>
    <row r="45" spans="2:16" x14ac:dyDescent="0.25">
      <c r="B45" s="1654"/>
      <c r="C45" s="1521"/>
      <c r="D45" s="1364" t="str">
        <f>IFERROR(INDEX(Valores!E:E,MATCH(B45,Valores!C:C,0),1),"")</f>
        <v/>
      </c>
      <c r="E45" s="1365">
        <f>SUMIF(Valores!C:C,B45,Valores!F:F)</f>
        <v>0</v>
      </c>
      <c r="F45" s="1366" t="str">
        <f>IFERROR(INDEX(Valores!G:G,MATCH(B45,Valores!C:C,0),1),"")</f>
        <v/>
      </c>
      <c r="G45" s="836">
        <f>+E45*C45*$G$6/1000</f>
        <v>0</v>
      </c>
      <c r="H45" s="1395">
        <f>G45/$D$10</f>
        <v>0</v>
      </c>
      <c r="I45" s="691"/>
      <c r="J45" s="691"/>
      <c r="K45" s="691"/>
      <c r="L45" s="691"/>
      <c r="M45" s="691"/>
      <c r="N45" s="691"/>
      <c r="O45" s="691"/>
      <c r="P45" s="691"/>
    </row>
    <row r="46" spans="2:16" x14ac:dyDescent="0.25">
      <c r="B46" s="1654"/>
      <c r="C46" s="1521"/>
      <c r="D46" s="1364" t="str">
        <f>IFERROR(INDEX(Valores!E:E,MATCH(B46,Valores!C:C,0),1),"")</f>
        <v/>
      </c>
      <c r="E46" s="1365">
        <f>SUMIF(Valores!C:C,B46,Valores!F:F)</f>
        <v>0</v>
      </c>
      <c r="F46" s="1366" t="str">
        <f>IFERROR(INDEX(Valores!G:G,MATCH(B46,Valores!C:C,0),1),"")</f>
        <v/>
      </c>
      <c r="G46" s="836">
        <f>+E46*C46*$G$6/1000</f>
        <v>0</v>
      </c>
      <c r="H46" s="1395">
        <f>G46/$D$10</f>
        <v>0</v>
      </c>
      <c r="I46" s="691"/>
      <c r="J46" s="691"/>
      <c r="K46" s="691"/>
      <c r="L46" s="691"/>
      <c r="M46" s="691"/>
      <c r="N46" s="691"/>
      <c r="O46" s="691"/>
      <c r="P46" s="691"/>
    </row>
    <row r="47" spans="2:16" ht="14.4" customHeight="1" thickBot="1" x14ac:dyDescent="0.3">
      <c r="B47" s="65" t="s">
        <v>100</v>
      </c>
      <c r="C47" s="839"/>
      <c r="D47" s="67"/>
      <c r="E47" s="69">
        <f>+G47/$G$6</f>
        <v>88</v>
      </c>
      <c r="F47" s="682" t="s">
        <v>95</v>
      </c>
      <c r="G47" s="840">
        <f>SUM(G43:G46)</f>
        <v>132000</v>
      </c>
      <c r="H47" s="1396">
        <f>SUM(H43:H46)</f>
        <v>3.0280785465222975</v>
      </c>
      <c r="I47" s="691"/>
      <c r="J47" s="691"/>
      <c r="K47" s="691"/>
      <c r="L47" s="691"/>
      <c r="M47" s="691"/>
      <c r="N47" s="691"/>
      <c r="O47" s="691"/>
      <c r="P47" s="691"/>
    </row>
    <row r="48" spans="2:16" x14ac:dyDescent="0.25">
      <c r="B48" s="1390"/>
      <c r="C48" s="1391"/>
      <c r="D48" s="1392"/>
      <c r="E48" s="1393"/>
      <c r="F48" s="1394"/>
      <c r="G48" s="1388"/>
      <c r="H48" s="1401"/>
      <c r="I48" s="691"/>
      <c r="J48" s="691"/>
      <c r="K48" s="691"/>
      <c r="L48" s="691"/>
      <c r="M48" s="691"/>
      <c r="N48" s="691"/>
      <c r="O48" s="691"/>
      <c r="P48" s="691"/>
    </row>
    <row r="49" spans="2:16" x14ac:dyDescent="0.25">
      <c r="B49" s="1654" t="s">
        <v>41</v>
      </c>
      <c r="C49" s="1521">
        <v>18</v>
      </c>
      <c r="D49" s="1364" t="str">
        <f>IFERROR(INDEX(Valores!E:E,MATCH(B49,Valores!C:C,0),1),"")</f>
        <v>Kg/Ha.</v>
      </c>
      <c r="E49" s="1365">
        <f>SUMIF(Valores!C:C,B49,Valores!F:F)</f>
        <v>1.8</v>
      </c>
      <c r="F49" s="1366" t="str">
        <f>IFERROR(INDEX(Valores!G:G,MATCH(B49,Valores!C:C,0),1),"")</f>
        <v>U$S/Kg.</v>
      </c>
      <c r="G49" s="836">
        <f>+E49*C49*$G$6</f>
        <v>48600</v>
      </c>
      <c r="H49" s="1395">
        <f>G49/$D$10</f>
        <v>1.1148834648559369</v>
      </c>
      <c r="I49" s="691"/>
      <c r="J49" s="691"/>
      <c r="K49" s="691"/>
      <c r="L49" s="691"/>
      <c r="M49" s="691"/>
      <c r="N49" s="691"/>
      <c r="O49" s="691"/>
      <c r="P49" s="691"/>
    </row>
    <row r="50" spans="2:16" x14ac:dyDescent="0.25">
      <c r="B50" s="1654" t="s">
        <v>42</v>
      </c>
      <c r="C50" s="1521">
        <v>18</v>
      </c>
      <c r="D50" s="1364" t="str">
        <f>IFERROR(INDEX(Valores!E:E,MATCH(B50,Valores!C:C,0),1),"")</f>
        <v>Kg/Ha.</v>
      </c>
      <c r="E50" s="1365">
        <f>SUMIF(Valores!C:C,B50,Valores!F:F)</f>
        <v>0.8</v>
      </c>
      <c r="F50" s="1366" t="str">
        <f>IFERROR(INDEX(Valores!G:G,MATCH(B50,Valores!C:C,0),1),"")</f>
        <v>U$S/Kg.</v>
      </c>
      <c r="G50" s="836">
        <f>+E50*C50*$G$6</f>
        <v>21600</v>
      </c>
      <c r="H50" s="1395">
        <f>G50/$D$10</f>
        <v>0.49550376215819414</v>
      </c>
      <c r="I50" s="691"/>
      <c r="J50" s="691"/>
      <c r="K50" s="691"/>
      <c r="L50" s="691"/>
      <c r="M50" s="691"/>
      <c r="N50" s="691"/>
      <c r="O50" s="691"/>
      <c r="P50" s="691"/>
    </row>
    <row r="51" spans="2:16" x14ac:dyDescent="0.25">
      <c r="B51" s="1654" t="s">
        <v>37</v>
      </c>
      <c r="C51" s="1521">
        <v>2.5</v>
      </c>
      <c r="D51" s="1364" t="str">
        <f>IFERROR(INDEX(Valores!E:E,MATCH(B51,Valores!C:C,0),1),"")</f>
        <v>bls./Ha.</v>
      </c>
      <c r="E51" s="1365">
        <f>SUMIF(Valores!C:C,B51,Valores!F:F)</f>
        <v>38</v>
      </c>
      <c r="F51" s="1366" t="str">
        <f>IFERROR(INDEX(Valores!G:G,MATCH(B51,Valores!C:C,0),1),"")</f>
        <v>U$S/bls.</v>
      </c>
      <c r="G51" s="836">
        <f>+E51*C51*$G$6</f>
        <v>142500</v>
      </c>
      <c r="H51" s="1395">
        <f>G51/$D$10</f>
        <v>3.2689484309047532</v>
      </c>
      <c r="I51" s="691"/>
      <c r="J51" s="691"/>
      <c r="K51" s="691"/>
      <c r="L51" s="691"/>
      <c r="M51" s="691"/>
      <c r="N51" s="691"/>
      <c r="O51" s="691"/>
      <c r="P51" s="691"/>
    </row>
    <row r="52" spans="2:16" x14ac:dyDescent="0.25">
      <c r="B52" s="1654"/>
      <c r="C52" s="1521"/>
      <c r="D52" s="1364" t="str">
        <f>IFERROR(INDEX(Valores!E:E,MATCH(B52,Valores!C:C,0),1),"")</f>
        <v/>
      </c>
      <c r="E52" s="1365">
        <f>SUMIF(Valores!C:C,B52,Valores!F:F)</f>
        <v>0</v>
      </c>
      <c r="F52" s="1366" t="str">
        <f>IFERROR(INDEX(Valores!G:G,MATCH(B52,Valores!C:C,0),1),"")</f>
        <v/>
      </c>
      <c r="G52" s="836">
        <f>+E52*C52*$G$6</f>
        <v>0</v>
      </c>
      <c r="H52" s="1395">
        <f>G52/$D$10</f>
        <v>0</v>
      </c>
      <c r="I52" s="691"/>
      <c r="J52" s="691"/>
      <c r="K52" s="691"/>
      <c r="L52" s="691"/>
      <c r="M52" s="691"/>
      <c r="N52" s="691"/>
      <c r="O52" s="691"/>
      <c r="P52" s="691"/>
    </row>
    <row r="53" spans="2:16" ht="14.4" customHeight="1" thickBot="1" x14ac:dyDescent="0.3">
      <c r="B53" s="65" t="s">
        <v>1212</v>
      </c>
      <c r="C53" s="839"/>
      <c r="D53" s="67"/>
      <c r="E53" s="69">
        <f>+G53/$G$6</f>
        <v>141.80000000000001</v>
      </c>
      <c r="F53" s="682" t="s">
        <v>95</v>
      </c>
      <c r="G53" s="1396">
        <f>SUM(G48:G52)</f>
        <v>212700</v>
      </c>
      <c r="H53" s="1396">
        <f>SUM(H48:H52)</f>
        <v>4.879335657918884</v>
      </c>
      <c r="I53" s="691"/>
      <c r="J53" s="691"/>
      <c r="K53" s="691"/>
      <c r="L53" s="691"/>
      <c r="M53" s="691"/>
      <c r="N53" s="691"/>
      <c r="O53" s="691"/>
      <c r="P53" s="691"/>
    </row>
    <row r="54" spans="2:16" x14ac:dyDescent="0.25">
      <c r="B54" s="62"/>
      <c r="C54" s="776"/>
      <c r="D54" s="111"/>
      <c r="E54" s="16"/>
      <c r="F54" s="681"/>
      <c r="G54" s="834"/>
      <c r="H54" s="1398"/>
      <c r="I54" s="691"/>
      <c r="J54" s="691"/>
      <c r="K54" s="691"/>
      <c r="L54" s="691"/>
      <c r="M54" s="691"/>
      <c r="N54" s="691"/>
      <c r="O54" s="691"/>
      <c r="P54" s="691"/>
    </row>
    <row r="55" spans="2:16" outlineLevel="1" x14ac:dyDescent="0.25">
      <c r="B55" s="1654" t="s">
        <v>56</v>
      </c>
      <c r="C55" s="1521">
        <v>1</v>
      </c>
      <c r="D55" s="1364" t="str">
        <f>IFERROR(INDEX(Valores!E:E,MATCH(B55,Valores!C:C,0),1),"")</f>
        <v>Siembra</v>
      </c>
      <c r="E55" s="1365">
        <f>SUMIF(Valores!C:C,B55,Valores!F:F)</f>
        <v>50</v>
      </c>
      <c r="F55" s="1366" t="str">
        <f>IFERROR(INDEX(Valores!G:G,MATCH(B55,Valores!C:C,0),1),"")</f>
        <v>U$S/Ha.</v>
      </c>
      <c r="G55" s="836">
        <f>+E55*C55*$G$6</f>
        <v>75000</v>
      </c>
      <c r="H55" s="1395">
        <f>G55/$D$10</f>
        <v>1.7204991741603963</v>
      </c>
      <c r="I55" s="691"/>
      <c r="J55" s="691"/>
      <c r="K55" s="691"/>
      <c r="L55" s="691"/>
      <c r="M55" s="691"/>
      <c r="N55" s="691"/>
      <c r="O55" s="691"/>
      <c r="P55" s="691"/>
    </row>
    <row r="56" spans="2:16" outlineLevel="1" x14ac:dyDescent="0.25">
      <c r="B56" s="1654" t="s">
        <v>59</v>
      </c>
      <c r="C56" s="1521">
        <v>1</v>
      </c>
      <c r="D56" s="1364" t="str">
        <f>IFERROR(INDEX(Valores!E:E,MATCH(B56,Valores!C:C,0),1),"")</f>
        <v>Siembra</v>
      </c>
      <c r="E56" s="1365">
        <f>SUMIF(Valores!C:C,B56,Valores!F:F)</f>
        <v>48</v>
      </c>
      <c r="F56" s="1366" t="str">
        <f>IFERROR(INDEX(Valores!G:G,MATCH(B56,Valores!C:C,0),1),"")</f>
        <v>U$S/Ha.</v>
      </c>
      <c r="G56" s="836">
        <f t="shared" ref="G56:G58" si="4">+E56*C56*$G$6</f>
        <v>72000</v>
      </c>
      <c r="H56" s="1395">
        <f>G56/$D$10</f>
        <v>1.6516792071939805</v>
      </c>
      <c r="I56" s="691"/>
      <c r="J56" s="691"/>
      <c r="K56" s="691"/>
      <c r="L56" s="691"/>
      <c r="M56" s="691"/>
      <c r="N56" s="691"/>
      <c r="O56" s="691"/>
      <c r="P56" s="691"/>
    </row>
    <row r="57" spans="2:16" outlineLevel="1" x14ac:dyDescent="0.25">
      <c r="B57" s="1654"/>
      <c r="C57" s="1521"/>
      <c r="D57" s="1364" t="str">
        <f>IFERROR(INDEX(Valores!E:E,MATCH(B57,Valores!C:C,0),1),"")</f>
        <v/>
      </c>
      <c r="E57" s="1365">
        <f>SUMIF(Valores!C:C,B57,Valores!F:F)</f>
        <v>0</v>
      </c>
      <c r="F57" s="1366" t="str">
        <f>IFERROR(INDEX(Valores!G:G,MATCH(B57,Valores!C:C,0),1),"")</f>
        <v/>
      </c>
      <c r="G57" s="836">
        <f t="shared" si="4"/>
        <v>0</v>
      </c>
      <c r="H57" s="1395">
        <f>G57/$D$10</f>
        <v>0</v>
      </c>
      <c r="I57" s="691"/>
      <c r="J57" s="691"/>
      <c r="K57" s="691"/>
      <c r="L57" s="691"/>
      <c r="M57" s="691"/>
      <c r="N57" s="691"/>
      <c r="O57" s="691"/>
      <c r="P57" s="691"/>
    </row>
    <row r="58" spans="2:16" outlineLevel="1" x14ac:dyDescent="0.25">
      <c r="B58" s="1654"/>
      <c r="C58" s="1521"/>
      <c r="D58" s="1364" t="str">
        <f>IFERROR(INDEX(Valores!E:E,MATCH(B58,Valores!C:C,0),1),"")</f>
        <v/>
      </c>
      <c r="E58" s="1365">
        <f>SUMIF(Valores!C:C,B58,Valores!F:F)</f>
        <v>0</v>
      </c>
      <c r="F58" s="1366" t="str">
        <f>IFERROR(INDEX(Valores!G:G,MATCH(B58,Valores!C:C,0),1),"")</f>
        <v/>
      </c>
      <c r="G58" s="836">
        <f t="shared" si="4"/>
        <v>0</v>
      </c>
      <c r="H58" s="1395">
        <f>G58/$D$10</f>
        <v>0</v>
      </c>
      <c r="I58" s="691"/>
      <c r="J58" s="691"/>
      <c r="K58" s="691"/>
      <c r="L58" s="691"/>
      <c r="M58" s="691"/>
      <c r="N58" s="691"/>
      <c r="O58" s="691"/>
      <c r="P58" s="691"/>
    </row>
    <row r="59" spans="2:16" ht="14.4" customHeight="1" thickBot="1" x14ac:dyDescent="0.3">
      <c r="B59" s="65" t="s">
        <v>105</v>
      </c>
      <c r="C59" s="66"/>
      <c r="D59" s="67"/>
      <c r="E59" s="176">
        <f>+G59/$G$6</f>
        <v>98</v>
      </c>
      <c r="F59" s="682" t="s">
        <v>95</v>
      </c>
      <c r="G59" s="840">
        <f>SUM(G55:G58)</f>
        <v>147000</v>
      </c>
      <c r="H59" s="1396">
        <f>SUM(H55:H58)</f>
        <v>3.3721783813543769</v>
      </c>
      <c r="I59" s="691"/>
      <c r="J59" s="691"/>
      <c r="K59" s="691"/>
      <c r="L59" s="691"/>
      <c r="M59" s="691"/>
      <c r="N59" s="691"/>
      <c r="O59" s="691"/>
      <c r="P59" s="691"/>
    </row>
    <row r="60" spans="2:16" x14ac:dyDescent="0.25">
      <c r="B60" s="62"/>
      <c r="C60" s="21"/>
      <c r="D60" s="17"/>
      <c r="E60" s="16"/>
      <c r="F60" s="681"/>
      <c r="G60" s="834"/>
      <c r="H60" s="1398"/>
      <c r="I60" s="691"/>
      <c r="J60" s="691"/>
      <c r="K60" s="691"/>
      <c r="L60" s="691"/>
      <c r="M60" s="691"/>
      <c r="N60" s="691"/>
      <c r="O60" s="691"/>
      <c r="P60" s="691"/>
    </row>
    <row r="61" spans="2:16" ht="13.95" customHeight="1" x14ac:dyDescent="0.25">
      <c r="B61" s="54" t="s">
        <v>106</v>
      </c>
      <c r="C61" s="1527">
        <v>35</v>
      </c>
      <c r="D61" s="55" t="s">
        <v>107</v>
      </c>
      <c r="E61" s="93">
        <v>3.6299999999999999E-2</v>
      </c>
      <c r="F61" s="674" t="s">
        <v>72</v>
      </c>
      <c r="G61" s="842">
        <f>C61*(E61)*$D$10</f>
        <v>55383.635999999999</v>
      </c>
      <c r="H61" s="1399">
        <f>G61/$D$10</f>
        <v>1.2705</v>
      </c>
      <c r="I61" s="691"/>
      <c r="J61" s="691"/>
      <c r="K61" s="691"/>
      <c r="L61" s="691"/>
      <c r="M61" s="691"/>
      <c r="N61" s="691"/>
      <c r="O61" s="691"/>
      <c r="P61" s="691"/>
    </row>
    <row r="62" spans="2:16" ht="13.95" customHeight="1" thickBot="1" x14ac:dyDescent="0.3">
      <c r="B62" s="304"/>
      <c r="C62" s="844"/>
      <c r="D62" s="305"/>
      <c r="E62" s="306"/>
      <c r="F62" s="683"/>
      <c r="G62" s="845"/>
      <c r="H62" s="1400"/>
      <c r="I62" s="691"/>
      <c r="J62" s="691"/>
      <c r="K62" s="691"/>
      <c r="L62" s="691"/>
      <c r="M62" s="691"/>
      <c r="N62" s="691"/>
      <c r="O62" s="691"/>
      <c r="P62" s="691"/>
    </row>
    <row r="63" spans="2:16" ht="14.4" hidden="1" customHeight="1" outlineLevel="1" thickBot="1" x14ac:dyDescent="0.3">
      <c r="B63" s="307"/>
      <c r="C63" s="308"/>
      <c r="D63" s="17"/>
      <c r="E63" s="309"/>
      <c r="F63" s="681"/>
      <c r="G63" s="842"/>
      <c r="H63" s="1399"/>
      <c r="I63" s="691"/>
      <c r="J63" s="691"/>
      <c r="K63" s="691"/>
      <c r="L63" s="691"/>
      <c r="M63" s="691"/>
      <c r="N63" s="691"/>
      <c r="O63" s="691"/>
      <c r="P63" s="691"/>
    </row>
    <row r="64" spans="2:16" ht="14.4" hidden="1" customHeight="1" outlineLevel="1" thickBot="1" x14ac:dyDescent="0.3">
      <c r="B64" s="310" t="s">
        <v>200</v>
      </c>
      <c r="C64" s="311">
        <v>25</v>
      </c>
      <c r="D64" s="55" t="s">
        <v>107</v>
      </c>
      <c r="E64" s="93">
        <v>0</v>
      </c>
      <c r="F64" s="674" t="s">
        <v>72</v>
      </c>
      <c r="G64" s="842">
        <v>0</v>
      </c>
      <c r="H64" s="1399">
        <v>0</v>
      </c>
      <c r="I64" s="691"/>
      <c r="J64" s="691"/>
      <c r="K64" s="691"/>
      <c r="L64" s="691"/>
      <c r="M64" s="691"/>
      <c r="N64" s="691"/>
      <c r="O64" s="691"/>
      <c r="P64" s="691"/>
    </row>
    <row r="65" spans="1:16" ht="14.4" hidden="1" customHeight="1" outlineLevel="1" thickBot="1" x14ac:dyDescent="0.3">
      <c r="B65" s="307"/>
      <c r="C65" s="265"/>
      <c r="D65" s="55"/>
      <c r="E65" s="93"/>
      <c r="F65" s="674"/>
      <c r="G65" s="842"/>
      <c r="H65" s="1399"/>
      <c r="I65" s="691"/>
      <c r="J65" s="691"/>
      <c r="K65" s="691"/>
      <c r="L65" s="691"/>
      <c r="M65" s="691"/>
      <c r="N65" s="691"/>
      <c r="O65" s="691"/>
      <c r="P65" s="691"/>
    </row>
    <row r="66" spans="1:16" ht="16.2" customHeight="1" collapsed="1" thickBot="1" x14ac:dyDescent="0.35">
      <c r="A66" s="117"/>
      <c r="B66" s="1540" t="s">
        <v>108</v>
      </c>
      <c r="C66" s="1541"/>
      <c r="D66" s="1541"/>
      <c r="E66" s="1542">
        <f>+G66/$G$6</f>
        <v>514.36242399999992</v>
      </c>
      <c r="F66" s="1543"/>
      <c r="G66" s="1544">
        <f>+G61+G53+G47+G41+G59</f>
        <v>771543.63599999994</v>
      </c>
      <c r="H66" s="1545">
        <f>+H61+H53+H47+H41+H59</f>
        <v>17.699202514222794</v>
      </c>
      <c r="I66" s="691"/>
      <c r="J66" s="691"/>
      <c r="K66" s="691"/>
      <c r="L66" s="691"/>
      <c r="M66" s="691"/>
      <c r="N66" s="691"/>
      <c r="O66" s="691"/>
      <c r="P66" s="691"/>
    </row>
    <row r="67" spans="1:16" x14ac:dyDescent="0.25">
      <c r="G67" s="793"/>
      <c r="I67" s="450"/>
      <c r="J67" s="691"/>
      <c r="K67" s="691"/>
      <c r="L67" s="691"/>
      <c r="M67" s="691"/>
      <c r="N67" s="691"/>
      <c r="O67" s="691"/>
      <c r="P67" s="691"/>
    </row>
    <row r="68" spans="1:16" ht="13.95" customHeight="1" thickBot="1" x14ac:dyDescent="0.3">
      <c r="G68" s="793"/>
      <c r="I68" s="450"/>
      <c r="J68" s="691"/>
      <c r="K68" s="691"/>
      <c r="L68" s="691"/>
      <c r="M68" s="691"/>
      <c r="N68" s="691"/>
      <c r="O68" s="691"/>
      <c r="P68" s="691"/>
    </row>
    <row r="69" spans="1:16" ht="16.2" customHeight="1" thickBot="1" x14ac:dyDescent="0.35">
      <c r="B69" s="1716" t="s">
        <v>109</v>
      </c>
      <c r="C69" s="1686"/>
      <c r="D69" s="1687"/>
      <c r="I69" s="691"/>
      <c r="J69" s="691"/>
      <c r="K69" s="691"/>
      <c r="L69" s="691"/>
      <c r="M69" s="691"/>
      <c r="N69" s="691"/>
      <c r="O69" s="691"/>
      <c r="P69" s="691"/>
    </row>
    <row r="70" spans="1:16" ht="18" customHeight="1" thickTop="1" thickBot="1" x14ac:dyDescent="0.3">
      <c r="B70" s="808">
        <f>+H70*$D$10*C70/100</f>
        <v>156931.20000000001</v>
      </c>
      <c r="C70" s="1531">
        <v>8</v>
      </c>
      <c r="D70" s="266" t="s">
        <v>72</v>
      </c>
      <c r="E70" s="249"/>
      <c r="F70" s="250"/>
      <c r="G70" s="251" t="s">
        <v>190</v>
      </c>
      <c r="H70" s="312">
        <f>+RESUMEN!K8</f>
        <v>45</v>
      </c>
      <c r="I70" s="848"/>
      <c r="J70" s="691"/>
      <c r="K70" s="691"/>
      <c r="L70" s="691"/>
      <c r="M70" s="691"/>
      <c r="N70" s="691"/>
      <c r="O70" s="691"/>
      <c r="P70" s="691"/>
    </row>
    <row r="71" spans="1:16" ht="15" customHeight="1" thickTop="1" thickBot="1" x14ac:dyDescent="0.3">
      <c r="B71" s="712"/>
      <c r="C71" s="712"/>
      <c r="D71" s="712"/>
      <c r="F71" s="313"/>
      <c r="G71" s="314" t="s">
        <v>201</v>
      </c>
      <c r="H71" s="315">
        <f>((G66+E78)/($D$10-C73-C74))/(100-C70)*100</f>
        <v>39.66237407073924</v>
      </c>
      <c r="I71" s="848"/>
      <c r="J71" s="691"/>
      <c r="K71" s="691"/>
      <c r="L71" s="691"/>
      <c r="M71" s="691"/>
      <c r="N71" s="691"/>
      <c r="O71" s="691"/>
      <c r="P71" s="691"/>
    </row>
    <row r="72" spans="1:16" ht="16.2" customHeight="1" thickBot="1" x14ac:dyDescent="0.35">
      <c r="B72" s="1716" t="s">
        <v>111</v>
      </c>
      <c r="C72" s="1686"/>
      <c r="D72" s="1687"/>
      <c r="H72" s="849"/>
      <c r="I72" s="850"/>
      <c r="J72" s="691"/>
      <c r="K72" s="691"/>
      <c r="L72" s="691"/>
      <c r="M72" s="691"/>
      <c r="N72" s="691"/>
      <c r="O72" s="691"/>
      <c r="P72" s="691"/>
    </row>
    <row r="73" spans="1:16" x14ac:dyDescent="0.25">
      <c r="B73" s="21" t="s">
        <v>113</v>
      </c>
      <c r="C73" s="1524">
        <v>70</v>
      </c>
      <c r="D73" s="266" t="s">
        <v>65</v>
      </c>
      <c r="E73" s="848">
        <f>+C73*H70</f>
        <v>3150</v>
      </c>
      <c r="H73" s="747"/>
      <c r="I73" s="691"/>
      <c r="J73" s="691"/>
      <c r="K73" s="691"/>
      <c r="L73" s="691"/>
      <c r="M73" s="691"/>
      <c r="N73" s="691"/>
      <c r="O73" s="691"/>
      <c r="P73" s="691"/>
    </row>
    <row r="74" spans="1:16" x14ac:dyDescent="0.25">
      <c r="B74" s="19" t="s">
        <v>115</v>
      </c>
      <c r="C74" s="1524">
        <v>15</v>
      </c>
      <c r="D74" s="266" t="s">
        <v>65</v>
      </c>
      <c r="E74" s="848">
        <f>+C74*H70</f>
        <v>675</v>
      </c>
      <c r="H74" s="753"/>
      <c r="I74" s="851"/>
      <c r="J74" s="691"/>
      <c r="K74" s="691"/>
      <c r="L74" s="691"/>
      <c r="M74" s="691"/>
      <c r="N74" s="691"/>
      <c r="O74" s="691"/>
      <c r="P74" s="691"/>
    </row>
    <row r="75" spans="1:16" ht="15" customHeight="1" x14ac:dyDescent="0.25">
      <c r="H75" s="752"/>
      <c r="I75" s="851"/>
      <c r="J75" s="691"/>
      <c r="K75" s="691"/>
      <c r="L75" s="691"/>
      <c r="M75" s="691"/>
      <c r="N75" s="691"/>
      <c r="O75" s="691"/>
      <c r="P75" s="691"/>
    </row>
    <row r="76" spans="1:16" ht="15" customHeight="1" thickBot="1" x14ac:dyDescent="0.3">
      <c r="G76" s="316"/>
      <c r="I76" s="691"/>
      <c r="J76" s="691"/>
      <c r="K76" s="691"/>
      <c r="L76" s="691"/>
      <c r="M76" s="691"/>
      <c r="N76" s="691"/>
      <c r="O76" s="691"/>
      <c r="P76" s="691"/>
    </row>
    <row r="77" spans="1:16" ht="16.2" customHeight="1" thickBot="1" x14ac:dyDescent="0.35">
      <c r="B77" s="1751" t="s">
        <v>143</v>
      </c>
      <c r="C77" s="1686"/>
      <c r="D77" s="1686"/>
      <c r="E77" s="1687"/>
      <c r="F77" s="712"/>
      <c r="G77" s="448" t="s">
        <v>145</v>
      </c>
      <c r="I77" s="691"/>
      <c r="J77" s="691"/>
      <c r="K77" s="691"/>
      <c r="L77" s="691"/>
      <c r="M77" s="691"/>
      <c r="N77" s="691"/>
      <c r="O77" s="691"/>
      <c r="P77" s="691"/>
    </row>
    <row r="78" spans="1:16" x14ac:dyDescent="0.25">
      <c r="B78" s="712"/>
      <c r="C78" s="852">
        <f>+RESUMEN!$D$10</f>
        <v>17</v>
      </c>
      <c r="D78" s="456" t="s">
        <v>144</v>
      </c>
      <c r="E78" s="853">
        <f>+C78*RESUMEN!$F$4</f>
        <v>816000</v>
      </c>
      <c r="F78" s="455" t="s">
        <v>117</v>
      </c>
      <c r="G78" s="854">
        <f>+E78/$D$10</f>
        <v>18.719031014865113</v>
      </c>
      <c r="I78" s="691"/>
      <c r="J78" s="691"/>
      <c r="K78" s="691"/>
      <c r="L78" s="691"/>
      <c r="M78" s="691"/>
      <c r="N78" s="691"/>
      <c r="O78" s="691"/>
      <c r="P78" s="691"/>
    </row>
    <row r="79" spans="1:16" x14ac:dyDescent="0.25">
      <c r="B79" s="712"/>
      <c r="C79" s="712"/>
      <c r="D79" s="80" t="s">
        <v>118</v>
      </c>
      <c r="E79" s="763">
        <f>+E78/$G$6</f>
        <v>544</v>
      </c>
      <c r="H79" s="1"/>
      <c r="I79" s="691"/>
      <c r="J79" s="691"/>
      <c r="K79" s="691"/>
      <c r="L79" s="691"/>
      <c r="M79" s="691"/>
      <c r="N79" s="691"/>
      <c r="O79" s="691"/>
      <c r="P79" s="691"/>
    </row>
    <row r="80" spans="1:16" ht="16.2" customHeight="1" thickBot="1" x14ac:dyDescent="0.3">
      <c r="G80" s="31"/>
      <c r="I80" s="691"/>
      <c r="J80" s="691"/>
      <c r="K80" s="691"/>
      <c r="L80" s="691"/>
      <c r="M80" s="691"/>
      <c r="N80" s="691"/>
      <c r="O80" s="691"/>
      <c r="P80" s="691"/>
    </row>
    <row r="81" spans="2:16" ht="18.600000000000001" customHeight="1" thickTop="1" thickBot="1" x14ac:dyDescent="0.3">
      <c r="B81" s="1690" t="s">
        <v>172</v>
      </c>
      <c r="C81" s="1691"/>
      <c r="D81" s="253">
        <f>+E82/(E79+E66)</f>
        <v>0.13438381104127339</v>
      </c>
      <c r="E81" s="765">
        <f>+H70*$D$10*(100-C70)/100-G66-E78-(C73+C74)*H70</f>
        <v>213340.16400000011</v>
      </c>
      <c r="F81" s="32" t="s">
        <v>117</v>
      </c>
      <c r="G81" s="830">
        <f>+E81/$D$10</f>
        <v>4.8940210130299162</v>
      </c>
      <c r="H81" s="33" t="s">
        <v>77</v>
      </c>
      <c r="I81" s="691"/>
      <c r="J81" s="691"/>
      <c r="K81" s="691"/>
      <c r="L81" s="691"/>
      <c r="M81" s="691"/>
      <c r="N81" s="691"/>
      <c r="O81" s="691"/>
      <c r="P81" s="691"/>
    </row>
    <row r="82" spans="2:16" ht="16.2" customHeight="1" thickTop="1" x14ac:dyDescent="0.25">
      <c r="D82" s="37" t="s">
        <v>118</v>
      </c>
      <c r="E82" s="746">
        <f>+E81/$G$6</f>
        <v>142.22677600000006</v>
      </c>
      <c r="H82" s="82"/>
      <c r="I82" s="691"/>
      <c r="J82" s="691"/>
      <c r="K82" s="691"/>
      <c r="L82" s="691"/>
      <c r="M82" s="691"/>
      <c r="N82" s="691"/>
      <c r="O82" s="691"/>
      <c r="P82" s="691"/>
    </row>
    <row r="83" spans="2:16" ht="15.6" customHeight="1" x14ac:dyDescent="0.25">
      <c r="G83" s="31"/>
      <c r="H83" s="31"/>
      <c r="I83" s="691"/>
      <c r="J83" s="691"/>
      <c r="K83" s="691"/>
      <c r="L83" s="691"/>
      <c r="M83" s="691"/>
      <c r="N83" s="691"/>
      <c r="O83" s="691"/>
      <c r="P83" s="691"/>
    </row>
    <row r="84" spans="2:16" ht="15.6" customHeight="1" x14ac:dyDescent="0.25">
      <c r="G84" s="31"/>
      <c r="H84" s="31"/>
      <c r="I84" s="691"/>
      <c r="J84" s="691"/>
      <c r="K84" s="691"/>
      <c r="L84" s="691"/>
      <c r="M84" s="691"/>
      <c r="N84" s="691"/>
      <c r="O84" s="691"/>
      <c r="P84" s="691"/>
    </row>
    <row r="85" spans="2:16" ht="15.6" customHeight="1" x14ac:dyDescent="0.25">
      <c r="G85" s="31"/>
      <c r="H85" s="31"/>
      <c r="I85" s="691"/>
      <c r="J85" s="691"/>
      <c r="K85" s="691"/>
      <c r="L85" s="691"/>
      <c r="M85" s="691"/>
      <c r="N85" s="691"/>
      <c r="O85" s="691"/>
      <c r="P85" s="691"/>
    </row>
    <row r="86" spans="2:16" x14ac:dyDescent="0.25">
      <c r="I86" s="691"/>
      <c r="J86" s="691"/>
      <c r="K86" s="691"/>
      <c r="L86" s="691"/>
      <c r="M86" s="691"/>
      <c r="N86" s="691"/>
      <c r="O86" s="691"/>
      <c r="P86" s="691"/>
    </row>
    <row r="87" spans="2:16" x14ac:dyDescent="0.25">
      <c r="I87" s="691"/>
      <c r="J87" s="691"/>
      <c r="K87" s="691"/>
      <c r="L87" s="691"/>
      <c r="M87" s="691"/>
      <c r="N87" s="691"/>
      <c r="O87" s="691"/>
      <c r="P87" s="691"/>
    </row>
    <row r="88" spans="2:16" x14ac:dyDescent="0.25">
      <c r="I88" s="691"/>
      <c r="J88" s="691"/>
      <c r="K88" s="691"/>
      <c r="L88" s="691"/>
      <c r="M88" s="691"/>
      <c r="N88" s="691"/>
      <c r="O88" s="691"/>
      <c r="P88" s="691"/>
    </row>
  </sheetData>
  <sheetProtection algorithmName="SHA-512" hashValue="yNcy5jUOgd8at0jhsljZBSxFacJPMWmIS871chkq+cMZmq1JoNLlH5ls6pRyGeNyJvIh3V4vGWGBVRIQK9QT3w==" saltValue="RMXybtJY8FrPwE6xaIQ//g==" spinCount="100000" sheet="1" objects="1" scenarios="1"/>
  <mergeCells count="7">
    <mergeCell ref="B81:C81"/>
    <mergeCell ref="B1:H2"/>
    <mergeCell ref="B7:D7"/>
    <mergeCell ref="C14:D14"/>
    <mergeCell ref="B69:D69"/>
    <mergeCell ref="B72:D72"/>
    <mergeCell ref="B77:E77"/>
  </mergeCells>
  <pageMargins left="0.7" right="0.7" top="0.75" bottom="0.75" header="0.3" footer="0.3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errorTitle="Seleccionar artículo correcto" promptTitle="Seleccionar artículo" xr:uid="{A4F2663C-1D2E-4379-9798-4240E9255B24}">
          <x14:formula1>
            <xm:f>Valores!$C$6:$C$123</xm:f>
          </x14:formula1>
          <xm:sqref>B55:B58 B43:B46 B49:B52 B15:B40</xm:sqref>
        </x14:dataValidation>
      </x14:dataValidations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1:AB162"/>
  <sheetViews>
    <sheetView showGridLines="0" workbookViewId="0">
      <pane ySplit="2" topLeftCell="A30" activePane="bottomLeft" state="frozen"/>
      <selection activeCell="K31" sqref="K31"/>
      <selection pane="bottomLeft" activeCell="H55" sqref="H55"/>
    </sheetView>
  </sheetViews>
  <sheetFormatPr baseColWidth="10" defaultColWidth="11.44140625" defaultRowHeight="13.2" x14ac:dyDescent="0.25"/>
  <cols>
    <col min="1" max="1" width="2.5546875" style="261" customWidth="1"/>
    <col min="2" max="2" width="34.88671875" style="261" customWidth="1"/>
    <col min="3" max="3" width="8.6640625" style="261" bestFit="1" customWidth="1"/>
    <col min="4" max="4" width="11.109375" style="261" customWidth="1"/>
    <col min="5" max="5" width="11.44140625" style="261" customWidth="1"/>
    <col min="6" max="6" width="8.6640625" style="261" customWidth="1"/>
    <col min="7" max="7" width="15.6640625" style="261" customWidth="1"/>
    <col min="8" max="8" width="9.33203125" style="690" bestFit="1" customWidth="1"/>
    <col min="9" max="9" width="7.6640625" style="690" customWidth="1"/>
    <col min="10" max="22" width="9" style="690" customWidth="1"/>
    <col min="23" max="28" width="9" style="261" customWidth="1"/>
    <col min="29" max="31" width="11.44140625" style="261" customWidth="1"/>
    <col min="32" max="16384" width="11.44140625" style="261"/>
  </cols>
  <sheetData>
    <row r="1" spans="2:28" ht="12.75" customHeight="1" x14ac:dyDescent="0.25">
      <c r="B1" s="1806" t="s">
        <v>957</v>
      </c>
      <c r="C1" s="1807"/>
      <c r="D1" s="1807"/>
      <c r="E1" s="1807"/>
      <c r="F1" s="1807"/>
      <c r="G1" s="1807"/>
      <c r="H1" s="1807"/>
    </row>
    <row r="2" spans="2:28" ht="12.75" customHeight="1" x14ac:dyDescent="0.25">
      <c r="B2" s="1806"/>
      <c r="C2" s="1807"/>
      <c r="D2" s="1807"/>
      <c r="E2" s="1807"/>
      <c r="F2" s="1807"/>
      <c r="G2" s="1807"/>
      <c r="H2" s="1807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</row>
    <row r="3" spans="2:28" ht="12.75" customHeight="1" x14ac:dyDescent="0.25">
      <c r="B3" s="114"/>
      <c r="C3" s="114"/>
      <c r="D3" s="114"/>
      <c r="E3" s="114"/>
      <c r="F3" s="114"/>
      <c r="I3" s="244"/>
      <c r="J3" s="244"/>
      <c r="K3" s="452" t="s">
        <v>205</v>
      </c>
      <c r="L3" s="452" t="s">
        <v>206</v>
      </c>
      <c r="M3" s="452" t="s">
        <v>207</v>
      </c>
      <c r="N3" s="452" t="s">
        <v>208</v>
      </c>
      <c r="O3" s="452" t="s">
        <v>209</v>
      </c>
      <c r="P3" s="452" t="s">
        <v>210</v>
      </c>
      <c r="Q3" s="452" t="s">
        <v>211</v>
      </c>
      <c r="R3" s="452" t="s">
        <v>212</v>
      </c>
      <c r="S3" s="452" t="s">
        <v>213</v>
      </c>
      <c r="T3" s="452" t="s">
        <v>214</v>
      </c>
      <c r="U3" s="452" t="s">
        <v>215</v>
      </c>
      <c r="V3" s="452" t="s">
        <v>216</v>
      </c>
    </row>
    <row r="4" spans="2:28" ht="12.75" customHeight="1" x14ac:dyDescent="0.25">
      <c r="B4" s="114"/>
      <c r="C4" s="114"/>
      <c r="D4" s="114"/>
      <c r="E4" s="114"/>
      <c r="F4" s="114"/>
      <c r="I4" s="244"/>
      <c r="J4" s="244"/>
      <c r="K4" s="692"/>
      <c r="L4" s="692"/>
      <c r="M4" s="692"/>
      <c r="N4" s="692"/>
      <c r="O4" s="692"/>
      <c r="P4" s="692"/>
      <c r="Q4" s="692"/>
      <c r="R4" s="692"/>
      <c r="S4" s="692"/>
      <c r="T4" s="692"/>
      <c r="U4" s="244"/>
      <c r="V4" s="244"/>
    </row>
    <row r="5" spans="2:28" ht="13.95" customHeight="1" x14ac:dyDescent="0.25">
      <c r="B5" s="123" t="s">
        <v>64</v>
      </c>
      <c r="C5" s="124"/>
      <c r="D5" s="796">
        <f>+RESUMEN!L4</f>
        <v>28500</v>
      </c>
      <c r="E5" s="125" t="s">
        <v>65</v>
      </c>
      <c r="G5" s="453" t="s">
        <v>186</v>
      </c>
      <c r="H5" s="261"/>
      <c r="K5" s="692"/>
      <c r="L5" s="692"/>
      <c r="M5" s="692"/>
      <c r="N5" s="692"/>
      <c r="O5" s="692"/>
      <c r="P5" s="692"/>
      <c r="Q5" s="692"/>
      <c r="R5" s="692"/>
      <c r="S5" s="692"/>
      <c r="T5" s="692"/>
      <c r="U5" s="244"/>
      <c r="V5" s="244"/>
    </row>
    <row r="6" spans="2:28" ht="13.95" customHeight="1" thickBot="1" x14ac:dyDescent="0.3">
      <c r="G6" s="454">
        <f>+RESUMEN!Q13</f>
        <v>1500</v>
      </c>
      <c r="H6" s="129" t="s">
        <v>187</v>
      </c>
      <c r="I6" s="261"/>
      <c r="J6" s="261"/>
      <c r="K6" s="692"/>
      <c r="L6" s="691"/>
      <c r="M6" s="691"/>
      <c r="N6" s="691"/>
      <c r="O6" s="691"/>
      <c r="P6" s="691"/>
      <c r="Q6" s="691"/>
      <c r="R6" s="691"/>
      <c r="S6" s="691"/>
      <c r="T6" s="691"/>
    </row>
    <row r="7" spans="2:28" ht="17.399999999999999" customHeight="1" thickBot="1" x14ac:dyDescent="0.3">
      <c r="B7" s="1685" t="s">
        <v>68</v>
      </c>
      <c r="C7" s="1686"/>
      <c r="D7" s="1687"/>
      <c r="H7" s="261"/>
      <c r="I7" s="261"/>
      <c r="J7" s="261"/>
      <c r="K7" s="691"/>
      <c r="L7" s="450"/>
      <c r="M7" s="450"/>
      <c r="N7" s="450"/>
      <c r="O7" s="450"/>
      <c r="P7" s="450"/>
      <c r="Q7" s="450"/>
      <c r="R7" s="450"/>
      <c r="S7" s="450"/>
      <c r="T7" s="450"/>
      <c r="U7" s="112"/>
      <c r="V7" s="112"/>
    </row>
    <row r="8" spans="2:28" x14ac:dyDescent="0.25">
      <c r="B8" s="187" t="s">
        <v>70</v>
      </c>
      <c r="C8" s="133"/>
      <c r="D8" s="133">
        <f>+RESUMEN!$Q$14</f>
        <v>3400</v>
      </c>
      <c r="E8" s="134" t="s">
        <v>65</v>
      </c>
      <c r="H8" s="261"/>
      <c r="I8" s="261"/>
      <c r="J8" s="261"/>
      <c r="K8" s="691"/>
      <c r="L8" s="691"/>
      <c r="M8" s="691"/>
      <c r="N8" s="691"/>
      <c r="O8" s="691"/>
      <c r="P8" s="691"/>
      <c r="Q8" s="691"/>
      <c r="R8" s="691"/>
      <c r="S8" s="691"/>
      <c r="T8" s="691"/>
    </row>
    <row r="9" spans="2:28" x14ac:dyDescent="0.25">
      <c r="B9" s="187" t="s">
        <v>71</v>
      </c>
      <c r="C9" s="136"/>
      <c r="D9" s="1656">
        <v>2.1000000000000001E-2</v>
      </c>
      <c r="E9" s="232" t="s">
        <v>72</v>
      </c>
      <c r="H9" s="261"/>
      <c r="I9" s="261"/>
      <c r="J9" s="261"/>
      <c r="K9" s="691"/>
      <c r="L9" s="692"/>
      <c r="M9" s="692"/>
      <c r="N9" s="692"/>
      <c r="O9" s="692"/>
      <c r="P9" s="692"/>
      <c r="Q9" s="692"/>
      <c r="R9" s="692"/>
      <c r="S9" s="692"/>
      <c r="T9" s="692"/>
      <c r="U9" s="244"/>
      <c r="V9" s="244"/>
    </row>
    <row r="10" spans="2:28" x14ac:dyDescent="0.25">
      <c r="B10" s="137" t="s">
        <v>73</v>
      </c>
      <c r="C10" s="138"/>
      <c r="D10" s="12">
        <f>+D5*(1-D9)-D8</f>
        <v>24501.5</v>
      </c>
      <c r="E10" s="134" t="s">
        <v>65</v>
      </c>
      <c r="I10" s="244"/>
      <c r="J10" s="244"/>
      <c r="K10" s="692"/>
      <c r="L10" s="692"/>
      <c r="M10" s="692"/>
      <c r="N10" s="692"/>
      <c r="O10" s="692"/>
      <c r="P10" s="692"/>
      <c r="Q10" s="692"/>
      <c r="R10" s="692"/>
      <c r="S10" s="692"/>
      <c r="T10" s="692"/>
      <c r="U10" s="244"/>
      <c r="V10" s="244"/>
    </row>
    <row r="11" spans="2:28" x14ac:dyDescent="0.25">
      <c r="B11" s="215"/>
      <c r="C11" s="230"/>
      <c r="D11" s="230"/>
      <c r="E11" s="135"/>
      <c r="I11" s="244"/>
      <c r="J11" s="244"/>
      <c r="K11" s="692"/>
      <c r="L11" s="692"/>
      <c r="M11" s="692"/>
      <c r="N11" s="692"/>
      <c r="O11" s="692"/>
      <c r="P11" s="692"/>
      <c r="Q11" s="692"/>
      <c r="R11" s="692"/>
      <c r="S11" s="692"/>
      <c r="T11" s="692"/>
      <c r="U11" s="244"/>
      <c r="V11" s="244"/>
    </row>
    <row r="12" spans="2:28" ht="13.95" customHeight="1" thickBot="1" x14ac:dyDescent="0.3">
      <c r="I12" s="244"/>
      <c r="J12" s="244"/>
      <c r="K12" s="692"/>
      <c r="L12" s="692"/>
      <c r="M12" s="692"/>
      <c r="N12" s="692"/>
      <c r="O12" s="692"/>
      <c r="P12" s="692"/>
      <c r="Q12" s="692"/>
      <c r="R12" s="692"/>
      <c r="S12" s="692"/>
      <c r="T12" s="692"/>
      <c r="U12" s="244"/>
      <c r="V12" s="244"/>
    </row>
    <row r="13" spans="2:28" ht="17.399999999999999" customHeight="1" thickBot="1" x14ac:dyDescent="0.3">
      <c r="B13" s="53" t="s">
        <v>148</v>
      </c>
      <c r="C13" s="703"/>
      <c r="D13" s="704"/>
      <c r="E13" s="141" t="s">
        <v>149</v>
      </c>
      <c r="F13" s="142"/>
      <c r="G13" s="320" t="s">
        <v>76</v>
      </c>
      <c r="H13" s="146" t="s">
        <v>77</v>
      </c>
      <c r="I13" s="244"/>
      <c r="J13" s="244"/>
      <c r="K13" s="692"/>
      <c r="L13" s="692"/>
      <c r="M13" s="692"/>
      <c r="N13" s="692"/>
      <c r="O13" s="692"/>
      <c r="P13" s="692"/>
      <c r="Q13" s="692"/>
      <c r="R13" s="692"/>
      <c r="S13" s="692"/>
      <c r="T13" s="692"/>
      <c r="U13" s="244"/>
      <c r="V13" s="244"/>
    </row>
    <row r="14" spans="2:28" ht="13.95" customHeight="1" thickBot="1" x14ac:dyDescent="0.3">
      <c r="B14" s="147" t="s">
        <v>78</v>
      </c>
      <c r="C14" s="1689" t="s">
        <v>150</v>
      </c>
      <c r="D14" s="1681"/>
      <c r="E14" s="149" t="s">
        <v>188</v>
      </c>
      <c r="F14" s="150" t="s">
        <v>82</v>
      </c>
      <c r="G14" s="322" t="s">
        <v>188</v>
      </c>
      <c r="H14" s="324" t="s">
        <v>188</v>
      </c>
      <c r="I14" s="244"/>
      <c r="J14" s="244"/>
      <c r="K14" s="692"/>
      <c r="L14" s="692"/>
      <c r="M14" s="692"/>
      <c r="N14" s="692"/>
      <c r="O14" s="692"/>
      <c r="P14" s="692"/>
      <c r="Q14" s="692"/>
      <c r="R14" s="692"/>
      <c r="S14" s="692"/>
      <c r="T14" s="692"/>
      <c r="U14" s="244"/>
      <c r="V14" s="244"/>
    </row>
    <row r="15" spans="2:28" x14ac:dyDescent="0.25">
      <c r="B15" s="1653" t="s">
        <v>1095</v>
      </c>
      <c r="C15" s="1520">
        <v>1</v>
      </c>
      <c r="D15" s="1364" t="str">
        <f>IFERROR(INDEX(Valores!E:E,MATCH(B15,Valores!C:C,0),1),"")</f>
        <v>Lts/Ha.</v>
      </c>
      <c r="E15" s="1365">
        <f>SUMIF(Valores!C:C,B15,Valores!F:F)</f>
        <v>3.5</v>
      </c>
      <c r="F15" s="1366" t="str">
        <f>IFERROR(INDEX(Valores!G:G,MATCH(B15,Valores!C:C,0),1),"")</f>
        <v>U$S/Lts.</v>
      </c>
      <c r="G15" s="797">
        <f t="shared" ref="G15:G30" si="0">+E15*C15*$G$6</f>
        <v>5250</v>
      </c>
      <c r="H15" s="798">
        <f t="shared" ref="H15:H30" si="1">G15/$D$10</f>
        <v>0.21427259555537417</v>
      </c>
      <c r="K15" s="691"/>
      <c r="L15" s="691"/>
      <c r="M15" s="691"/>
      <c r="N15" s="691"/>
      <c r="O15" s="691"/>
      <c r="P15" s="691"/>
      <c r="Q15" s="691"/>
      <c r="R15" s="691"/>
      <c r="S15" s="691"/>
      <c r="T15" s="691"/>
    </row>
    <row r="16" spans="2:28" x14ac:dyDescent="0.25">
      <c r="B16" s="1654"/>
      <c r="C16" s="1521"/>
      <c r="D16" s="1364" t="str">
        <f>IFERROR(INDEX(Valores!E:E,MATCH(B16,Valores!C:C,0),1),"")</f>
        <v/>
      </c>
      <c r="E16" s="1365">
        <f>SUMIF(Valores!C:C,B16,Valores!F:F)</f>
        <v>0</v>
      </c>
      <c r="F16" s="1366" t="str">
        <f>IFERROR(INDEX(Valores!G:G,MATCH(B16,Valores!C:C,0),1),"")</f>
        <v/>
      </c>
      <c r="G16" s="811">
        <f>+E16*C16*$G$6</f>
        <v>0</v>
      </c>
      <c r="H16" s="798">
        <f>G16/$D$10</f>
        <v>0</v>
      </c>
      <c r="J16" s="421"/>
      <c r="K16" s="691"/>
      <c r="L16" s="691"/>
      <c r="M16" s="692"/>
      <c r="N16" s="692"/>
      <c r="O16" s="692"/>
      <c r="P16" s="692"/>
      <c r="Q16" s="692"/>
      <c r="R16" s="692"/>
      <c r="S16" s="692"/>
      <c r="T16" s="692"/>
      <c r="U16" s="244"/>
      <c r="V16" s="244"/>
      <c r="W16" s="244"/>
      <c r="X16" s="244"/>
      <c r="Y16" s="244"/>
      <c r="Z16" s="244"/>
      <c r="AA16" s="244"/>
      <c r="AB16" s="244"/>
    </row>
    <row r="17" spans="2:28" x14ac:dyDescent="0.25">
      <c r="B17" s="1654"/>
      <c r="C17" s="1521"/>
      <c r="D17" s="1364" t="str">
        <f>IFERROR(INDEX(Valores!E:E,MATCH(B17,Valores!C:C,0),1),"")</f>
        <v/>
      </c>
      <c r="E17" s="1365">
        <f>SUMIF(Valores!C:C,B17,Valores!F:F)</f>
        <v>0</v>
      </c>
      <c r="F17" s="1366" t="str">
        <f>IFERROR(INDEX(Valores!G:G,MATCH(B17,Valores!C:C,0),1),"")</f>
        <v/>
      </c>
      <c r="G17" s="811">
        <f t="shared" si="0"/>
        <v>0</v>
      </c>
      <c r="H17" s="798">
        <f t="shared" si="1"/>
        <v>0</v>
      </c>
      <c r="J17" s="421"/>
      <c r="K17" s="691"/>
      <c r="L17" s="691"/>
      <c r="M17" s="692"/>
      <c r="N17" s="692"/>
      <c r="O17" s="692"/>
      <c r="P17" s="692"/>
      <c r="Q17" s="692"/>
      <c r="R17" s="692"/>
      <c r="S17" s="692"/>
      <c r="T17" s="692"/>
      <c r="U17" s="244"/>
      <c r="V17" s="244"/>
      <c r="W17" s="244"/>
      <c r="X17" s="244"/>
      <c r="Y17" s="244"/>
      <c r="Z17" s="244"/>
      <c r="AA17" s="244"/>
      <c r="AB17" s="244"/>
    </row>
    <row r="18" spans="2:28" x14ac:dyDescent="0.25">
      <c r="B18" s="1654"/>
      <c r="C18" s="1521"/>
      <c r="D18" s="1364" t="str">
        <f>IFERROR(INDEX(Valores!E:E,MATCH(B18,Valores!C:C,0),1),"")</f>
        <v/>
      </c>
      <c r="E18" s="1365">
        <f>SUMIF(Valores!C:C,B18,Valores!F:F)</f>
        <v>0</v>
      </c>
      <c r="F18" s="1366" t="str">
        <f>IFERROR(INDEX(Valores!G:G,MATCH(B18,Valores!C:C,0),1),"")</f>
        <v/>
      </c>
      <c r="G18" s="811">
        <f t="shared" si="0"/>
        <v>0</v>
      </c>
      <c r="H18" s="798">
        <f t="shared" si="1"/>
        <v>0</v>
      </c>
      <c r="J18" s="421"/>
      <c r="K18" s="691"/>
      <c r="L18" s="691"/>
      <c r="M18" s="692"/>
      <c r="N18" s="692"/>
      <c r="O18" s="692"/>
      <c r="P18" s="692"/>
      <c r="Q18" s="692"/>
      <c r="R18" s="692"/>
      <c r="S18" s="692"/>
      <c r="T18" s="692"/>
      <c r="U18" s="244"/>
      <c r="V18" s="244"/>
      <c r="W18" s="244"/>
      <c r="X18" s="244"/>
      <c r="Y18" s="244"/>
      <c r="Z18" s="244"/>
      <c r="AA18" s="244"/>
      <c r="AB18" s="244"/>
    </row>
    <row r="19" spans="2:28" x14ac:dyDescent="0.25">
      <c r="B19" s="1654" t="s">
        <v>1205</v>
      </c>
      <c r="C19" s="1521">
        <v>1.7</v>
      </c>
      <c r="D19" s="1364" t="str">
        <f>IFERROR(INDEX(Valores!E:E,MATCH(B19,Valores!C:C,0),1),"")</f>
        <v>Kg/Ha.</v>
      </c>
      <c r="E19" s="1365">
        <f>SUMIF(Valores!C:C,B19,Valores!F:F)</f>
        <v>6.1</v>
      </c>
      <c r="F19" s="1366" t="str">
        <f>IFERROR(INDEX(Valores!G:G,MATCH(B19,Valores!C:C,0),1),"")</f>
        <v>U$S/Kg.</v>
      </c>
      <c r="G19" s="811">
        <f t="shared" si="0"/>
        <v>15554.999999999998</v>
      </c>
      <c r="H19" s="798">
        <f t="shared" si="1"/>
        <v>0.63485909025977993</v>
      </c>
      <c r="J19" s="421"/>
      <c r="K19" s="691"/>
      <c r="L19" s="691"/>
      <c r="M19" s="692"/>
      <c r="N19" s="692"/>
      <c r="O19" s="692"/>
      <c r="P19" s="692"/>
      <c r="Q19" s="692"/>
      <c r="R19" s="692"/>
      <c r="S19" s="692"/>
      <c r="T19" s="692"/>
      <c r="U19" s="244"/>
      <c r="V19" s="244"/>
      <c r="W19" s="244"/>
      <c r="X19" s="244"/>
      <c r="Y19" s="244"/>
      <c r="Z19" s="244"/>
      <c r="AA19" s="244"/>
      <c r="AB19" s="244"/>
    </row>
    <row r="20" spans="2:28" x14ac:dyDescent="0.25">
      <c r="B20" s="1654" t="s">
        <v>1198</v>
      </c>
      <c r="C20" s="1521">
        <v>2.5</v>
      </c>
      <c r="D20" s="1364" t="str">
        <f>IFERROR(INDEX(Valores!E:E,MATCH(B20,Valores!C:C,0),1),"")</f>
        <v>Lts/Ha.</v>
      </c>
      <c r="E20" s="1365">
        <f>SUMIF(Valores!C:C,B20,Valores!F:F)</f>
        <v>4.3</v>
      </c>
      <c r="F20" s="1366" t="str">
        <f>IFERROR(INDEX(Valores!G:G,MATCH(B20,Valores!C:C,0),1),"")</f>
        <v>U$S/Lts.</v>
      </c>
      <c r="G20" s="811">
        <f t="shared" si="0"/>
        <v>16125</v>
      </c>
      <c r="H20" s="798">
        <f t="shared" si="1"/>
        <v>0.65812297206293491</v>
      </c>
      <c r="J20" s="421"/>
      <c r="K20" s="691"/>
      <c r="L20" s="691"/>
      <c r="M20" s="692"/>
      <c r="N20" s="692"/>
      <c r="O20" s="692"/>
      <c r="P20" s="692"/>
      <c r="Q20" s="692"/>
      <c r="R20" s="692"/>
      <c r="S20" s="692"/>
      <c r="T20" s="692"/>
      <c r="U20" s="244"/>
      <c r="V20" s="244"/>
      <c r="W20" s="244"/>
      <c r="X20" s="244"/>
      <c r="Y20" s="244"/>
      <c r="Z20" s="244"/>
      <c r="AA20" s="244"/>
      <c r="AB20" s="244"/>
    </row>
    <row r="21" spans="2:28" x14ac:dyDescent="0.25">
      <c r="B21" s="1654" t="s">
        <v>1200</v>
      </c>
      <c r="C21" s="1521">
        <v>0.04</v>
      </c>
      <c r="D21" s="1364" t="str">
        <f>IFERROR(INDEX(Valores!E:E,MATCH(B21,Valores!C:C,0),1),"")</f>
        <v>Kg/Ha.</v>
      </c>
      <c r="E21" s="1365">
        <f>SUMIF(Valores!C:C,B21,Valores!F:F)</f>
        <v>305</v>
      </c>
      <c r="F21" s="1366" t="str">
        <f>IFERROR(INDEX(Valores!G:G,MATCH(B21,Valores!C:C,0),1),"")</f>
        <v>U$S/Kg.</v>
      </c>
      <c r="G21" s="811">
        <f t="shared" si="0"/>
        <v>18300</v>
      </c>
      <c r="H21" s="798">
        <f t="shared" si="1"/>
        <v>0.74689304736444706</v>
      </c>
      <c r="K21" s="691"/>
      <c r="L21" s="691"/>
      <c r="M21" s="692"/>
      <c r="N21" s="692"/>
      <c r="O21" s="692"/>
      <c r="P21" s="692"/>
      <c r="Q21" s="692"/>
      <c r="R21" s="692"/>
      <c r="S21" s="692"/>
      <c r="T21" s="692"/>
      <c r="U21" s="244"/>
      <c r="V21" s="244"/>
      <c r="W21" s="244"/>
      <c r="X21" s="244"/>
      <c r="Y21" s="244"/>
      <c r="Z21" s="244"/>
      <c r="AA21" s="244"/>
      <c r="AB21" s="244"/>
    </row>
    <row r="22" spans="2:28" x14ac:dyDescent="0.25">
      <c r="B22" s="1654" t="s">
        <v>1197</v>
      </c>
      <c r="C22" s="1521">
        <v>2.5</v>
      </c>
      <c r="D22" s="1364" t="str">
        <f>IFERROR(INDEX(Valores!E:E,MATCH(B22,Valores!C:C,0),1),"")</f>
        <v>Lts/Ha.</v>
      </c>
      <c r="E22" s="1365">
        <f>SUMIF(Valores!C:C,B22,Valores!F:F)</f>
        <v>4.6500000000000004</v>
      </c>
      <c r="F22" s="1366" t="str">
        <f>IFERROR(INDEX(Valores!G:G,MATCH(B22,Valores!C:C,0),1),"")</f>
        <v>U$S/Lts.</v>
      </c>
      <c r="G22" s="811">
        <f>+E22*C22*$G$6</f>
        <v>17437.5</v>
      </c>
      <c r="H22" s="798">
        <f t="shared" si="1"/>
        <v>0.71169112095177844</v>
      </c>
      <c r="K22" s="691"/>
      <c r="L22" s="691"/>
      <c r="M22" s="692"/>
      <c r="N22" s="692"/>
      <c r="O22" s="692"/>
      <c r="P22" s="692"/>
      <c r="Q22" s="692"/>
      <c r="R22" s="692"/>
      <c r="S22" s="692"/>
      <c r="T22" s="692"/>
      <c r="U22" s="244"/>
      <c r="V22" s="244"/>
      <c r="W22" s="244"/>
      <c r="X22" s="244"/>
      <c r="Y22" s="244"/>
      <c r="Z22" s="244"/>
      <c r="AA22" s="244"/>
      <c r="AB22" s="244"/>
    </row>
    <row r="23" spans="2:28" x14ac:dyDescent="0.25">
      <c r="B23" s="1654" t="s">
        <v>1209</v>
      </c>
      <c r="C23" s="1521">
        <v>0.1</v>
      </c>
      <c r="D23" s="1364" t="str">
        <f>IFERROR(INDEX(Valores!E:E,MATCH(B23,Valores!C:C,0),1),"")</f>
        <v>Lts/Ha.</v>
      </c>
      <c r="E23" s="1365">
        <f>SUMIF(Valores!C:C,B23,Valores!F:F)</f>
        <v>305</v>
      </c>
      <c r="F23" s="1366" t="str">
        <f>IFERROR(INDEX(Valores!G:G,MATCH(B23,Valores!C:C,0),1),"")</f>
        <v>U$S/Lts.</v>
      </c>
      <c r="G23" s="800">
        <f t="shared" si="0"/>
        <v>45750</v>
      </c>
      <c r="H23" s="1023">
        <f t="shared" si="1"/>
        <v>1.8672326184111177</v>
      </c>
      <c r="K23" s="691"/>
      <c r="L23" s="691"/>
      <c r="M23" s="692"/>
      <c r="N23" s="692"/>
      <c r="O23" s="692"/>
      <c r="P23" s="692"/>
      <c r="Q23" s="692"/>
      <c r="R23" s="692"/>
      <c r="S23" s="692"/>
      <c r="T23" s="692"/>
      <c r="U23" s="244"/>
      <c r="V23" s="244"/>
      <c r="W23" s="244"/>
      <c r="X23" s="244"/>
      <c r="Y23" s="244"/>
      <c r="Z23" s="244"/>
      <c r="AA23" s="244"/>
      <c r="AB23" s="244"/>
    </row>
    <row r="24" spans="2:28" x14ac:dyDescent="0.25">
      <c r="B24" s="1654"/>
      <c r="C24" s="1521"/>
      <c r="D24" s="1364" t="str">
        <f>IFERROR(INDEX(Valores!E:E,MATCH(B24,Valores!C:C,0),1),"")</f>
        <v/>
      </c>
      <c r="E24" s="1365">
        <f>SUMIF(Valores!C:C,B24,Valores!F:F)</f>
        <v>0</v>
      </c>
      <c r="F24" s="1366" t="str">
        <f>IFERROR(INDEX(Valores!G:G,MATCH(B24,Valores!C:C,0),1),"")</f>
        <v/>
      </c>
      <c r="G24" s="811">
        <f t="shared" si="0"/>
        <v>0</v>
      </c>
      <c r="H24" s="798">
        <f t="shared" si="1"/>
        <v>0</v>
      </c>
      <c r="K24" s="691"/>
      <c r="L24" s="691"/>
      <c r="M24" s="692"/>
      <c r="N24" s="692"/>
      <c r="O24" s="692"/>
      <c r="P24" s="692"/>
      <c r="Q24" s="692"/>
      <c r="R24" s="692"/>
      <c r="S24" s="692"/>
      <c r="T24" s="692"/>
      <c r="U24" s="244"/>
      <c r="V24" s="244"/>
      <c r="W24" s="244"/>
      <c r="X24" s="244"/>
      <c r="Y24" s="244"/>
      <c r="Z24" s="244"/>
      <c r="AA24" s="244"/>
      <c r="AB24" s="244"/>
    </row>
    <row r="25" spans="2:28" x14ac:dyDescent="0.25">
      <c r="B25" s="1654"/>
      <c r="C25" s="1521"/>
      <c r="D25" s="1364" t="str">
        <f>IFERROR(INDEX(Valores!E:E,MATCH(B25,Valores!C:C,0),1),"")</f>
        <v/>
      </c>
      <c r="E25" s="1365">
        <f>SUMIF(Valores!C:C,B25,Valores!F:F)</f>
        <v>0</v>
      </c>
      <c r="F25" s="1366" t="str">
        <f>IFERROR(INDEX(Valores!G:G,MATCH(B25,Valores!C:C,0),1),"")</f>
        <v/>
      </c>
      <c r="G25" s="1024">
        <f t="shared" si="0"/>
        <v>0</v>
      </c>
      <c r="H25" s="1025">
        <f t="shared" si="1"/>
        <v>0</v>
      </c>
      <c r="K25" s="691"/>
      <c r="L25" s="691"/>
      <c r="M25" s="692"/>
      <c r="N25" s="692"/>
      <c r="O25" s="692"/>
      <c r="P25" s="692"/>
      <c r="Q25" s="692"/>
      <c r="R25" s="692"/>
      <c r="S25" s="692"/>
      <c r="T25" s="692"/>
      <c r="U25" s="244"/>
      <c r="V25" s="244"/>
      <c r="W25" s="244"/>
      <c r="X25" s="244"/>
      <c r="Y25" s="244"/>
      <c r="Z25" s="244"/>
      <c r="AA25" s="244"/>
      <c r="AB25" s="244"/>
    </row>
    <row r="26" spans="2:28" x14ac:dyDescent="0.25">
      <c r="B26" s="1654" t="s">
        <v>1202</v>
      </c>
      <c r="C26" s="1521">
        <v>0.18</v>
      </c>
      <c r="D26" s="1364" t="str">
        <f>IFERROR(INDEX(Valores!E:E,MATCH(B26,Valores!C:C,0),1),"")</f>
        <v>Lts/Ha.</v>
      </c>
      <c r="E26" s="1365">
        <f>SUMIF(Valores!C:C,B26,Valores!F:F)</f>
        <v>84</v>
      </c>
      <c r="F26" s="1366" t="str">
        <f>IFERROR(INDEX(Valores!G:G,MATCH(B26,Valores!C:C,0),1),"")</f>
        <v>U$S/Lts.</v>
      </c>
      <c r="G26" s="1024">
        <f>+E26*C26*$G$6</f>
        <v>22680</v>
      </c>
      <c r="H26" s="1025">
        <f t="shared" si="1"/>
        <v>0.92565761279921632</v>
      </c>
      <c r="K26" s="691"/>
      <c r="L26" s="691"/>
      <c r="M26" s="692"/>
      <c r="N26" s="692"/>
      <c r="O26" s="692"/>
      <c r="P26" s="692"/>
      <c r="Q26" s="692"/>
      <c r="R26" s="692"/>
      <c r="S26" s="692"/>
      <c r="T26" s="692"/>
      <c r="U26" s="244"/>
      <c r="V26" s="244"/>
      <c r="W26" s="244"/>
      <c r="X26" s="244"/>
      <c r="Y26" s="244"/>
      <c r="Z26" s="244"/>
      <c r="AA26" s="244"/>
      <c r="AB26" s="244"/>
    </row>
    <row r="27" spans="2:28" x14ac:dyDescent="0.25">
      <c r="B27" s="1654" t="s">
        <v>1210</v>
      </c>
      <c r="C27" s="1521">
        <v>1.6</v>
      </c>
      <c r="D27" s="1364" t="str">
        <f>IFERROR(INDEX(Valores!E:E,MATCH(B27,Valores!C:C,0),1),"")</f>
        <v>Kg/Ha.</v>
      </c>
      <c r="E27" s="1365">
        <f>SUMIF(Valores!C:C,B27,Valores!F:F)</f>
        <v>6.95</v>
      </c>
      <c r="F27" s="1366" t="str">
        <f>IFERROR(INDEX(Valores!G:G,MATCH(B27,Valores!C:C,0),1),"")</f>
        <v>U$S/Kg.</v>
      </c>
      <c r="G27" s="1024">
        <f t="shared" si="0"/>
        <v>16680</v>
      </c>
      <c r="H27" s="1025">
        <f t="shared" si="1"/>
        <v>0.68077464645021735</v>
      </c>
      <c r="K27" s="691"/>
      <c r="L27" s="691"/>
      <c r="M27" s="692"/>
      <c r="N27" s="692"/>
      <c r="O27" s="692"/>
      <c r="P27" s="692"/>
      <c r="Q27" s="692"/>
      <c r="R27" s="692"/>
      <c r="S27" s="692"/>
      <c r="T27" s="692"/>
      <c r="U27" s="244"/>
      <c r="V27" s="244"/>
      <c r="W27" s="244"/>
      <c r="X27" s="244"/>
      <c r="Y27" s="244"/>
      <c r="Z27" s="244"/>
      <c r="AA27" s="244"/>
      <c r="AB27" s="244"/>
    </row>
    <row r="28" spans="2:28" x14ac:dyDescent="0.25">
      <c r="B28" s="1654"/>
      <c r="C28" s="1521"/>
      <c r="D28" s="1364" t="str">
        <f>IFERROR(INDEX(Valores!E:E,MATCH(B28,Valores!C:C,0),1),"")</f>
        <v/>
      </c>
      <c r="E28" s="1365">
        <f>SUMIF(Valores!C:C,B28,Valores!F:F)</f>
        <v>0</v>
      </c>
      <c r="F28" s="1366" t="str">
        <f>IFERROR(INDEX(Valores!G:G,MATCH(B28,Valores!C:C,0),1),"")</f>
        <v/>
      </c>
      <c r="G28" s="1024">
        <f t="shared" si="0"/>
        <v>0</v>
      </c>
      <c r="H28" s="1025">
        <f>G28/$D$10</f>
        <v>0</v>
      </c>
      <c r="K28" s="691"/>
      <c r="L28" s="691"/>
      <c r="M28" s="692"/>
      <c r="N28" s="692"/>
      <c r="O28" s="692"/>
      <c r="P28" s="692"/>
      <c r="Q28" s="692"/>
      <c r="R28" s="692"/>
      <c r="S28" s="692"/>
      <c r="T28" s="692"/>
      <c r="U28" s="244"/>
      <c r="V28" s="244"/>
      <c r="W28" s="244"/>
      <c r="X28" s="244"/>
      <c r="Y28" s="244"/>
      <c r="Z28" s="244"/>
      <c r="AA28" s="244"/>
      <c r="AB28" s="244"/>
    </row>
    <row r="29" spans="2:28" x14ac:dyDescent="0.25">
      <c r="B29" s="1654"/>
      <c r="C29" s="1521"/>
      <c r="D29" s="1364" t="str">
        <f>IFERROR(INDEX(Valores!E:E,MATCH(B29,Valores!C:C,0),1),"")</f>
        <v/>
      </c>
      <c r="E29" s="1365">
        <f>SUMIF(Valores!C:C,B29,Valores!F:F)</f>
        <v>0</v>
      </c>
      <c r="F29" s="1366" t="str">
        <f>IFERROR(INDEX(Valores!G:G,MATCH(B29,Valores!C:C,0),1),"")</f>
        <v/>
      </c>
      <c r="G29" s="1024">
        <f t="shared" si="0"/>
        <v>0</v>
      </c>
      <c r="H29" s="1025">
        <f t="shared" si="1"/>
        <v>0</v>
      </c>
      <c r="K29" s="691"/>
      <c r="L29" s="691"/>
      <c r="M29" s="692"/>
      <c r="N29" s="692"/>
      <c r="O29" s="692"/>
      <c r="P29" s="692"/>
      <c r="Q29" s="692"/>
      <c r="R29" s="692"/>
      <c r="S29" s="692"/>
      <c r="T29" s="692"/>
      <c r="U29" s="244"/>
      <c r="V29" s="244"/>
      <c r="W29" s="244"/>
      <c r="X29" s="244"/>
      <c r="Y29" s="244"/>
      <c r="Z29" s="244"/>
      <c r="AA29" s="244"/>
      <c r="AB29" s="244"/>
    </row>
    <row r="30" spans="2:28" x14ac:dyDescent="0.25">
      <c r="B30" s="1654"/>
      <c r="C30" s="1521"/>
      <c r="D30" s="1364" t="str">
        <f>IFERROR(INDEX(Valores!E:E,MATCH(B30,Valores!C:C,0),1),"")</f>
        <v/>
      </c>
      <c r="E30" s="1365">
        <f>SUMIF(Valores!C:C,B30,Valores!F:F)</f>
        <v>0</v>
      </c>
      <c r="F30" s="1366" t="str">
        <f>IFERROR(INDEX(Valores!G:G,MATCH(B30,Valores!C:C,0),1),"")</f>
        <v/>
      </c>
      <c r="G30" s="1024">
        <f t="shared" si="0"/>
        <v>0</v>
      </c>
      <c r="H30" s="1025">
        <f t="shared" si="1"/>
        <v>0</v>
      </c>
      <c r="K30" s="691"/>
      <c r="L30" s="691"/>
      <c r="M30" s="692"/>
      <c r="N30" s="692"/>
      <c r="O30" s="692"/>
      <c r="P30" s="692"/>
      <c r="Q30" s="692"/>
      <c r="R30" s="692"/>
      <c r="S30" s="692"/>
      <c r="T30" s="692"/>
      <c r="U30" s="244"/>
      <c r="V30" s="244"/>
      <c r="W30" s="244"/>
      <c r="X30" s="244"/>
      <c r="Y30" s="244"/>
      <c r="Z30" s="244"/>
      <c r="AA30" s="244"/>
      <c r="AB30" s="244"/>
    </row>
    <row r="31" spans="2:28" ht="14.4" customHeight="1" thickBot="1" x14ac:dyDescent="0.3">
      <c r="B31" s="172" t="s">
        <v>94</v>
      </c>
      <c r="C31" s="699"/>
      <c r="D31" s="700"/>
      <c r="E31" s="69">
        <f>+G31/$G$6</f>
        <v>105.185</v>
      </c>
      <c r="F31" s="676" t="s">
        <v>95</v>
      </c>
      <c r="G31" s="812">
        <f>SUM(G15:G30)</f>
        <v>157777.5</v>
      </c>
      <c r="H31" s="802">
        <f>SUM(H15:H30)</f>
        <v>6.4395037038548653</v>
      </c>
      <c r="K31" s="691"/>
      <c r="L31" s="691"/>
      <c r="M31" s="692"/>
      <c r="N31" s="692"/>
      <c r="O31" s="692"/>
      <c r="P31" s="692"/>
      <c r="Q31" s="692"/>
      <c r="R31" s="692"/>
      <c r="S31" s="692"/>
      <c r="T31" s="692"/>
      <c r="U31" s="244"/>
      <c r="V31" s="244"/>
      <c r="W31" s="244"/>
      <c r="X31" s="244"/>
      <c r="Y31" s="244"/>
      <c r="Z31" s="244"/>
      <c r="AA31" s="244"/>
      <c r="AB31" s="244"/>
    </row>
    <row r="32" spans="2:28" x14ac:dyDescent="0.25">
      <c r="B32" s="1654"/>
      <c r="C32" s="1521"/>
      <c r="D32" s="1364" t="str">
        <f>IFERROR(INDEX(Valores!E:E,MATCH(B32,Valores!C:C,0),1),"")</f>
        <v/>
      </c>
      <c r="E32" s="1365">
        <f>SUMIF(Valores!C:C,B32,Valores!F:F)</f>
        <v>0</v>
      </c>
      <c r="F32" s="1366" t="str">
        <f>IFERROR(INDEX(Valores!G:G,MATCH(B32,Valores!C:C,0),1),"")</f>
        <v/>
      </c>
      <c r="G32" s="811">
        <f t="shared" ref="G32:G38" si="2">+E32*C32*$G$6/1000</f>
        <v>0</v>
      </c>
      <c r="H32" s="798">
        <f t="shared" ref="H32:H38" si="3">G32/$D$10</f>
        <v>0</v>
      </c>
      <c r="I32" s="244"/>
      <c r="J32" s="244"/>
      <c r="K32" s="692"/>
      <c r="L32" s="692"/>
      <c r="M32" s="692"/>
      <c r="N32" s="692"/>
      <c r="O32" s="692"/>
      <c r="P32" s="692"/>
      <c r="Q32" s="692"/>
      <c r="R32" s="692"/>
      <c r="S32" s="692"/>
      <c r="T32" s="692"/>
      <c r="U32" s="244"/>
      <c r="V32" s="244"/>
      <c r="W32" s="244"/>
      <c r="X32" s="244"/>
      <c r="Y32" s="244"/>
      <c r="Z32" s="244"/>
      <c r="AA32" s="244"/>
      <c r="AB32" s="244"/>
    </row>
    <row r="33" spans="2:28" x14ac:dyDescent="0.25">
      <c r="B33" s="1654" t="s">
        <v>1090</v>
      </c>
      <c r="C33" s="1521">
        <v>80</v>
      </c>
      <c r="D33" s="1364" t="str">
        <f>IFERROR(INDEX(Valores!E:E,MATCH(B33,Valores!C:C,0),1),"")</f>
        <v>Kg/Ha.</v>
      </c>
      <c r="E33" s="1365">
        <f>SUMIF(Valores!C:C,B33,Valores!F:F)</f>
        <v>1100</v>
      </c>
      <c r="F33" s="1366" t="str">
        <f>IFERROR(INDEX(Valores!G:G,MATCH(B33,Valores!C:C,0),1),"")</f>
        <v>U$S/ton.</v>
      </c>
      <c r="G33" s="811">
        <f t="shared" si="2"/>
        <v>132000</v>
      </c>
      <c r="H33" s="798">
        <f t="shared" si="3"/>
        <v>5.387425259677979</v>
      </c>
      <c r="I33" s="244"/>
      <c r="J33" s="244"/>
      <c r="K33" s="692"/>
      <c r="L33" s="692"/>
      <c r="M33" s="692"/>
      <c r="N33" s="692"/>
      <c r="O33" s="692"/>
      <c r="P33" s="692"/>
      <c r="Q33" s="692"/>
      <c r="R33" s="692"/>
      <c r="S33" s="692"/>
      <c r="T33" s="692"/>
      <c r="U33" s="244"/>
      <c r="V33" s="244"/>
      <c r="W33" s="244"/>
      <c r="X33" s="244"/>
      <c r="Y33" s="244"/>
      <c r="Z33" s="244"/>
      <c r="AA33" s="244"/>
      <c r="AB33" s="244"/>
    </row>
    <row r="34" spans="2:28" x14ac:dyDescent="0.25">
      <c r="B34" s="1654" t="s">
        <v>1093</v>
      </c>
      <c r="C34" s="1521">
        <v>200</v>
      </c>
      <c r="D34" s="1364" t="str">
        <f>IFERROR(INDEX(Valores!E:E,MATCH(B34,Valores!C:C,0),1),"")</f>
        <v>Kg/Ha.</v>
      </c>
      <c r="E34" s="1365">
        <f>SUMIF(Valores!C:C,B34,Valores!F:F)</f>
        <v>970</v>
      </c>
      <c r="F34" s="1366" t="str">
        <f>IFERROR(INDEX(Valores!G:G,MATCH(B34,Valores!C:C,0),1),"")</f>
        <v>U$S/ton.</v>
      </c>
      <c r="G34" s="811">
        <f t="shared" si="2"/>
        <v>291000</v>
      </c>
      <c r="H34" s="798">
        <f t="shared" si="3"/>
        <v>11.876823867926454</v>
      </c>
      <c r="I34" s="244"/>
      <c r="J34" s="244"/>
      <c r="K34" s="692"/>
      <c r="L34" s="692"/>
      <c r="M34" s="692"/>
      <c r="N34" s="692"/>
      <c r="O34" s="692"/>
      <c r="P34" s="692"/>
      <c r="Q34" s="692"/>
      <c r="R34" s="692"/>
      <c r="S34" s="692"/>
      <c r="T34" s="692"/>
      <c r="U34" s="244"/>
      <c r="V34" s="244"/>
    </row>
    <row r="35" spans="2:28" x14ac:dyDescent="0.25">
      <c r="B35" s="1654"/>
      <c r="C35" s="1521"/>
      <c r="D35" s="1364" t="str">
        <f>IFERROR(INDEX(Valores!E:E,MATCH(B35,Valores!C:C,0),1),"")</f>
        <v/>
      </c>
      <c r="E35" s="1365">
        <f>SUMIF(Valores!C:C,B35,Valores!F:F)</f>
        <v>0</v>
      </c>
      <c r="F35" s="1366" t="str">
        <f>IFERROR(INDEX(Valores!G:G,MATCH(B35,Valores!C:C,0),1),"")</f>
        <v/>
      </c>
      <c r="G35" s="811">
        <f t="shared" si="2"/>
        <v>0</v>
      </c>
      <c r="H35" s="798">
        <f t="shared" si="3"/>
        <v>0</v>
      </c>
      <c r="I35" s="244"/>
      <c r="J35" s="244"/>
      <c r="K35" s="692"/>
      <c r="L35" s="692"/>
      <c r="M35" s="692"/>
      <c r="N35" s="692"/>
      <c r="O35" s="692"/>
      <c r="P35" s="692"/>
      <c r="Q35" s="692"/>
      <c r="R35" s="692"/>
      <c r="S35" s="692"/>
      <c r="T35" s="692"/>
      <c r="U35" s="244"/>
      <c r="V35" s="244"/>
    </row>
    <row r="36" spans="2:28" x14ac:dyDescent="0.25">
      <c r="B36" s="1654"/>
      <c r="C36" s="1521"/>
      <c r="D36" s="1364" t="str">
        <f>IFERROR(INDEX(Valores!E:E,MATCH(B36,Valores!C:C,0),1),"")</f>
        <v/>
      </c>
      <c r="E36" s="1365">
        <f>SUMIF(Valores!C:C,B36,Valores!F:F)</f>
        <v>0</v>
      </c>
      <c r="F36" s="1366" t="str">
        <f>IFERROR(INDEX(Valores!G:G,MATCH(B36,Valores!C:C,0),1),"")</f>
        <v/>
      </c>
      <c r="G36" s="811">
        <f t="shared" si="2"/>
        <v>0</v>
      </c>
      <c r="H36" s="798">
        <f t="shared" si="3"/>
        <v>0</v>
      </c>
      <c r="I36" s="244"/>
      <c r="J36" s="244"/>
      <c r="K36" s="244"/>
      <c r="L36" s="244"/>
      <c r="M36" s="244"/>
      <c r="N36" s="244"/>
      <c r="O36" s="244"/>
      <c r="P36" s="244"/>
      <c r="Q36" s="244"/>
      <c r="R36" s="692"/>
      <c r="S36" s="692"/>
      <c r="T36" s="692"/>
      <c r="U36" s="244"/>
      <c r="V36" s="244"/>
    </row>
    <row r="37" spans="2:28" x14ac:dyDescent="0.25">
      <c r="B37" s="1654"/>
      <c r="C37" s="1521"/>
      <c r="D37" s="1364" t="str">
        <f>IFERROR(INDEX(Valores!E:E,MATCH(B37,Valores!C:C,0),1),"")</f>
        <v/>
      </c>
      <c r="E37" s="1365">
        <f>SUMIF(Valores!C:C,B37,Valores!F:F)</f>
        <v>0</v>
      </c>
      <c r="F37" s="1366" t="str">
        <f>IFERROR(INDEX(Valores!G:G,MATCH(B37,Valores!C:C,0),1),"")</f>
        <v/>
      </c>
      <c r="G37" s="811">
        <f t="shared" si="2"/>
        <v>0</v>
      </c>
      <c r="H37" s="798">
        <f t="shared" si="3"/>
        <v>0</v>
      </c>
      <c r="I37" s="244"/>
      <c r="J37" s="244"/>
      <c r="K37" s="244"/>
      <c r="L37" s="244"/>
      <c r="M37" s="244"/>
      <c r="N37" s="244"/>
      <c r="O37" s="244"/>
      <c r="P37" s="244"/>
      <c r="Q37" s="244"/>
      <c r="R37" s="692"/>
      <c r="S37" s="692"/>
      <c r="T37" s="692"/>
      <c r="U37" s="244"/>
      <c r="V37" s="244"/>
    </row>
    <row r="38" spans="2:28" x14ac:dyDescent="0.25">
      <c r="B38" s="1654"/>
      <c r="C38" s="1521"/>
      <c r="D38" s="1364" t="str">
        <f>IFERROR(INDEX(Valores!E:E,MATCH(B38,Valores!C:C,0),1),"")</f>
        <v/>
      </c>
      <c r="E38" s="1365">
        <f>SUMIF(Valores!C:C,B38,Valores!F:F)</f>
        <v>0</v>
      </c>
      <c r="F38" s="1366" t="str">
        <f>IFERROR(INDEX(Valores!G:G,MATCH(B38,Valores!C:C,0),1),"")</f>
        <v/>
      </c>
      <c r="G38" s="811">
        <f t="shared" si="2"/>
        <v>0</v>
      </c>
      <c r="H38" s="798">
        <f t="shared" si="3"/>
        <v>0</v>
      </c>
      <c r="I38" s="244"/>
      <c r="J38" s="244"/>
      <c r="K38" s="244"/>
      <c r="L38" s="244"/>
      <c r="M38" s="244"/>
      <c r="N38" s="244"/>
      <c r="O38" s="244"/>
      <c r="P38" s="244"/>
      <c r="Q38" s="244"/>
      <c r="R38" s="692"/>
      <c r="S38" s="692"/>
      <c r="T38" s="692"/>
      <c r="U38" s="244"/>
      <c r="V38" s="244"/>
    </row>
    <row r="39" spans="2:28" ht="14.4" customHeight="1" thickBot="1" x14ac:dyDescent="0.3">
      <c r="B39" s="65" t="s">
        <v>100</v>
      </c>
      <c r="C39" s="173"/>
      <c r="D39" s="174"/>
      <c r="E39" s="69">
        <f>+G39/$G$6</f>
        <v>282</v>
      </c>
      <c r="F39" s="676" t="s">
        <v>95</v>
      </c>
      <c r="G39" s="812">
        <f>SUM(G32:G38)</f>
        <v>423000</v>
      </c>
      <c r="H39" s="802">
        <f>SUM(H32:H38)</f>
        <v>17.264249127604433</v>
      </c>
      <c r="I39" s="244"/>
      <c r="J39" s="244"/>
      <c r="K39" s="244"/>
      <c r="L39" s="244"/>
      <c r="M39" s="244"/>
      <c r="N39" s="244"/>
      <c r="O39" s="244"/>
      <c r="P39" s="244"/>
      <c r="Q39" s="244"/>
      <c r="R39" s="691"/>
      <c r="S39" s="691"/>
      <c r="T39" s="691"/>
    </row>
    <row r="40" spans="2:28" x14ac:dyDescent="0.25">
      <c r="B40" s="181"/>
      <c r="C40" s="187"/>
      <c r="D40" s="182"/>
      <c r="E40" s="189"/>
      <c r="F40" s="677"/>
      <c r="G40" s="813"/>
      <c r="H40" s="803"/>
      <c r="I40" s="244"/>
      <c r="J40" s="244"/>
      <c r="K40" s="692"/>
      <c r="L40" s="692"/>
      <c r="M40" s="692"/>
      <c r="N40" s="692"/>
      <c r="O40" s="692"/>
      <c r="P40" s="692"/>
      <c r="Q40" s="692"/>
      <c r="R40" s="692"/>
      <c r="S40" s="692"/>
      <c r="T40" s="692"/>
      <c r="U40" s="244"/>
      <c r="V40" s="244"/>
    </row>
    <row r="41" spans="2:28" x14ac:dyDescent="0.25">
      <c r="B41" s="1654" t="s">
        <v>41</v>
      </c>
      <c r="C41" s="1521">
        <v>18</v>
      </c>
      <c r="D41" s="1364" t="str">
        <f>IFERROR(INDEX(Valores!E:E,MATCH(B41,Valores!C:C,0),1),"")</f>
        <v>Kg/Ha.</v>
      </c>
      <c r="E41" s="1365">
        <f>SUMIF(Valores!C:C,B41,Valores!F:F)</f>
        <v>1.8</v>
      </c>
      <c r="F41" s="1366" t="str">
        <f>IFERROR(INDEX(Valores!G:G,MATCH(B41,Valores!C:C,0),1),"")</f>
        <v>U$S/Kg.</v>
      </c>
      <c r="G41" s="836">
        <f>+E41*C41*$G$6</f>
        <v>48600</v>
      </c>
      <c r="H41" s="1395">
        <f>G41/$D$10</f>
        <v>1.9835520274268923</v>
      </c>
      <c r="I41" s="244"/>
      <c r="J41" s="244"/>
      <c r="K41" s="692"/>
      <c r="L41" s="692"/>
      <c r="M41" s="692"/>
      <c r="N41" s="692"/>
      <c r="O41" s="692"/>
      <c r="P41" s="692"/>
      <c r="Q41" s="692"/>
      <c r="R41" s="692"/>
      <c r="S41" s="692"/>
      <c r="T41" s="692"/>
      <c r="U41" s="244"/>
      <c r="V41" s="244"/>
    </row>
    <row r="42" spans="2:28" x14ac:dyDescent="0.25">
      <c r="B42" s="1654" t="s">
        <v>42</v>
      </c>
      <c r="C42" s="1521">
        <v>18</v>
      </c>
      <c r="D42" s="1364" t="str">
        <f>IFERROR(INDEX(Valores!E:E,MATCH(B42,Valores!C:C,0),1),"")</f>
        <v>Kg/Ha.</v>
      </c>
      <c r="E42" s="1365">
        <f>SUMIF(Valores!C:C,B42,Valores!F:F)</f>
        <v>0.8</v>
      </c>
      <c r="F42" s="1366" t="str">
        <f>IFERROR(INDEX(Valores!G:G,MATCH(B42,Valores!C:C,0),1),"")</f>
        <v>U$S/Kg.</v>
      </c>
      <c r="G42" s="836">
        <f>+E42*C42*$G$6</f>
        <v>21600</v>
      </c>
      <c r="H42" s="1395">
        <f>G42/$D$10</f>
        <v>0.88157867885639651</v>
      </c>
      <c r="I42" s="244"/>
      <c r="J42" s="244"/>
      <c r="K42" s="692"/>
      <c r="L42" s="692"/>
      <c r="M42" s="692"/>
      <c r="N42" s="692"/>
      <c r="O42" s="692"/>
      <c r="P42" s="692"/>
      <c r="Q42" s="692"/>
      <c r="R42" s="692"/>
      <c r="S42" s="692"/>
      <c r="T42" s="692"/>
      <c r="U42" s="244"/>
      <c r="V42" s="244"/>
    </row>
    <row r="43" spans="2:28" x14ac:dyDescent="0.25">
      <c r="B43" s="1654" t="s">
        <v>38</v>
      </c>
      <c r="C43" s="1521">
        <v>1</v>
      </c>
      <c r="D43" s="1364" t="str">
        <f>IFERROR(INDEX(Valores!E:E,MATCH(B43,Valores!C:C,0),1),"")</f>
        <v>bls./Ha.</v>
      </c>
      <c r="E43" s="1365">
        <f>SUMIF(Valores!C:C,B43,Valores!F:F)</f>
        <v>190</v>
      </c>
      <c r="F43" s="1366" t="str">
        <f>IFERROR(INDEX(Valores!G:G,MATCH(B43,Valores!C:C,0),1),"")</f>
        <v>U$S/bls.</v>
      </c>
      <c r="G43" s="836">
        <f>+E43*C43*$G$6</f>
        <v>285000</v>
      </c>
      <c r="H43" s="1395">
        <f>G43/$D$10</f>
        <v>11.631940901577455</v>
      </c>
      <c r="I43" s="244"/>
      <c r="J43" s="244"/>
      <c r="K43" s="692"/>
      <c r="L43" s="692"/>
      <c r="M43" s="692"/>
      <c r="N43" s="692"/>
      <c r="O43" s="692"/>
      <c r="P43" s="692"/>
      <c r="Q43" s="692"/>
      <c r="R43" s="692"/>
      <c r="S43" s="692"/>
      <c r="T43" s="692"/>
      <c r="U43" s="244"/>
      <c r="V43" s="244"/>
    </row>
    <row r="44" spans="2:28" x14ac:dyDescent="0.25">
      <c r="B44" s="1654"/>
      <c r="C44" s="1521"/>
      <c r="D44" s="1364" t="str">
        <f>IFERROR(INDEX(Valores!E:E,MATCH(B44,Valores!C:C,0),1),"")</f>
        <v/>
      </c>
      <c r="E44" s="1365">
        <f>SUMIF(Valores!C:C,B44,Valores!F:F)</f>
        <v>0</v>
      </c>
      <c r="F44" s="1366" t="str">
        <f>IFERROR(INDEX(Valores!G:G,MATCH(B44,Valores!C:C,0),1),"")</f>
        <v/>
      </c>
      <c r="G44" s="836">
        <f>+E44*C44*$G$6</f>
        <v>0</v>
      </c>
      <c r="H44" s="1395">
        <f>G44/$D$10</f>
        <v>0</v>
      </c>
      <c r="I44" s="244"/>
      <c r="J44" s="244"/>
      <c r="K44" s="692"/>
      <c r="L44" s="692"/>
      <c r="M44" s="692"/>
      <c r="N44" s="692"/>
      <c r="O44" s="692"/>
      <c r="P44" s="692"/>
      <c r="Q44" s="692"/>
      <c r="R44" s="692"/>
      <c r="S44" s="692"/>
      <c r="T44" s="692"/>
      <c r="U44" s="244"/>
      <c r="V44" s="244"/>
    </row>
    <row r="45" spans="2:28" ht="14.4" customHeight="1" thickBot="1" x14ac:dyDescent="0.3">
      <c r="B45" s="65" t="s">
        <v>1212</v>
      </c>
      <c r="C45" s="839"/>
      <c r="D45" s="67"/>
      <c r="E45" s="69">
        <f>+G45/$G$6</f>
        <v>236.8</v>
      </c>
      <c r="F45" s="682" t="s">
        <v>95</v>
      </c>
      <c r="G45" s="1396">
        <f>SUM(G40:G44)</f>
        <v>355200</v>
      </c>
      <c r="H45" s="1396">
        <f>SUM(H40:H44)</f>
        <v>14.497071607860743</v>
      </c>
      <c r="I45" s="244"/>
      <c r="J45" s="244"/>
      <c r="K45" s="692"/>
      <c r="L45" s="692"/>
      <c r="M45" s="692"/>
      <c r="N45" s="692"/>
      <c r="O45" s="692"/>
      <c r="P45" s="692"/>
      <c r="Q45" s="692"/>
      <c r="R45" s="692"/>
      <c r="S45" s="692"/>
      <c r="T45" s="692"/>
      <c r="U45" s="244"/>
      <c r="V45" s="244"/>
    </row>
    <row r="46" spans="2:28" x14ac:dyDescent="0.25">
      <c r="B46" s="181"/>
      <c r="C46" s="187"/>
      <c r="D46" s="182"/>
      <c r="E46" s="189"/>
      <c r="F46" s="677"/>
      <c r="G46" s="813"/>
      <c r="H46" s="803"/>
      <c r="I46" s="244"/>
      <c r="J46" s="244"/>
      <c r="K46" s="692"/>
      <c r="L46" s="692"/>
      <c r="M46" s="692"/>
      <c r="N46" s="692"/>
      <c r="O46" s="692"/>
      <c r="P46" s="692"/>
      <c r="Q46" s="692"/>
      <c r="R46" s="692"/>
      <c r="S46" s="692"/>
      <c r="T46" s="692"/>
      <c r="U46" s="244"/>
      <c r="V46" s="244"/>
    </row>
    <row r="47" spans="2:28" x14ac:dyDescent="0.25">
      <c r="B47" s="1654"/>
      <c r="C47" s="1521"/>
      <c r="D47" s="1364" t="str">
        <f>IFERROR(INDEX(Valores!E:E,MATCH(B47,Valores!C:C,0),1),"")</f>
        <v/>
      </c>
      <c r="E47" s="1365">
        <f>SUMIF(Valores!C:C,B47,Valores!F:F)</f>
        <v>0</v>
      </c>
      <c r="F47" s="1366" t="str">
        <f>IFERROR(INDEX(Valores!G:G,MATCH(B47,Valores!C:C,0),1),"")</f>
        <v/>
      </c>
      <c r="G47" s="811">
        <f>C47*E47*$G$6</f>
        <v>0</v>
      </c>
      <c r="H47" s="798">
        <f>G47/$D$10</f>
        <v>0</v>
      </c>
      <c r="I47" s="244"/>
      <c r="J47" s="244"/>
      <c r="K47" s="692"/>
      <c r="L47" s="692"/>
      <c r="M47" s="692"/>
      <c r="N47" s="692"/>
      <c r="O47" s="692"/>
      <c r="P47" s="692"/>
      <c r="Q47" s="692"/>
      <c r="R47" s="692"/>
      <c r="S47" s="692"/>
      <c r="T47" s="692"/>
      <c r="U47" s="244"/>
      <c r="V47" s="244"/>
    </row>
    <row r="48" spans="2:28" x14ac:dyDescent="0.25">
      <c r="B48" s="1654" t="s">
        <v>48</v>
      </c>
      <c r="C48" s="1521">
        <v>3</v>
      </c>
      <c r="D48" s="1364" t="str">
        <f>IFERROR(INDEX(Valores!E:E,MATCH(B48,Valores!C:C,0),1),"")</f>
        <v>Aplicaciones</v>
      </c>
      <c r="E48" s="1365">
        <f>SUMIF(Valores!C:C,B48,Valores!F:F)</f>
        <v>8</v>
      </c>
      <c r="F48" s="1366" t="str">
        <f>IFERROR(INDEX(Valores!G:G,MATCH(B48,Valores!C:C,0),1),"")</f>
        <v>U$S/Ha.</v>
      </c>
      <c r="G48" s="811">
        <f t="shared" ref="G48:G50" si="4">C48*E48*$G$6</f>
        <v>36000</v>
      </c>
      <c r="H48" s="798">
        <f>G48/$D$10</f>
        <v>1.4692977980939943</v>
      </c>
      <c r="I48" s="244"/>
      <c r="J48" s="244"/>
      <c r="K48" s="692"/>
      <c r="L48" s="692"/>
      <c r="M48" s="692"/>
      <c r="N48" s="692"/>
      <c r="O48" s="692"/>
      <c r="P48" s="692"/>
      <c r="Q48" s="692"/>
      <c r="R48" s="692"/>
      <c r="S48" s="692"/>
      <c r="T48" s="692"/>
      <c r="U48" s="244"/>
      <c r="V48" s="244"/>
    </row>
    <row r="49" spans="2:22" x14ac:dyDescent="0.25">
      <c r="B49" s="1654" t="s">
        <v>59</v>
      </c>
      <c r="C49" s="1521">
        <v>1</v>
      </c>
      <c r="D49" s="1364" t="str">
        <f>IFERROR(INDEX(Valores!E:E,MATCH(B49,Valores!C:C,0),1),"")</f>
        <v>Siembra</v>
      </c>
      <c r="E49" s="1365">
        <f>SUMIF(Valores!C:C,B49,Valores!F:F)</f>
        <v>48</v>
      </c>
      <c r="F49" s="1366" t="str">
        <f>IFERROR(INDEX(Valores!G:G,MATCH(B49,Valores!C:C,0),1),"")</f>
        <v>U$S/Ha.</v>
      </c>
      <c r="G49" s="811">
        <f t="shared" si="4"/>
        <v>72000</v>
      </c>
      <c r="H49" s="798">
        <f>G49/$D$10</f>
        <v>2.9385955961879886</v>
      </c>
      <c r="I49" s="244"/>
      <c r="J49" s="244"/>
      <c r="K49" s="692"/>
      <c r="L49" s="692"/>
      <c r="M49" s="692"/>
      <c r="N49" s="692"/>
      <c r="O49" s="692"/>
      <c r="P49" s="692"/>
      <c r="Q49" s="692"/>
      <c r="R49" s="692"/>
      <c r="S49" s="692"/>
      <c r="T49" s="692"/>
      <c r="U49" s="244"/>
      <c r="V49" s="244"/>
    </row>
    <row r="50" spans="2:22" x14ac:dyDescent="0.25">
      <c r="B50" s="1654" t="s">
        <v>54</v>
      </c>
      <c r="C50" s="1521">
        <v>1</v>
      </c>
      <c r="D50" s="1364" t="str">
        <f>IFERROR(INDEX(Valores!E:E,MATCH(B50,Valores!C:C,0),1),"")</f>
        <v>Siembra</v>
      </c>
      <c r="E50" s="1365">
        <f>SUMIF(Valores!C:C,B50,Valores!F:F)</f>
        <v>55</v>
      </c>
      <c r="F50" s="1366" t="str">
        <f>IFERROR(INDEX(Valores!G:G,MATCH(B50,Valores!C:C,0),1),"")</f>
        <v>U$S/Ha.</v>
      </c>
      <c r="G50" s="811">
        <f t="shared" si="4"/>
        <v>82500</v>
      </c>
      <c r="H50" s="798">
        <f>G50/$D$10</f>
        <v>3.3671407872987369</v>
      </c>
      <c r="I50" s="244"/>
      <c r="J50" s="244"/>
      <c r="K50" s="692"/>
      <c r="L50" s="692"/>
      <c r="M50" s="692"/>
      <c r="N50" s="692"/>
      <c r="O50" s="692"/>
      <c r="P50" s="692"/>
      <c r="Q50" s="692"/>
      <c r="R50" s="692"/>
      <c r="S50" s="692"/>
      <c r="T50" s="692"/>
      <c r="U50" s="244"/>
      <c r="V50" s="244"/>
    </row>
    <row r="51" spans="2:22" ht="14.4" customHeight="1" thickBot="1" x14ac:dyDescent="0.3">
      <c r="B51" s="65" t="s">
        <v>105</v>
      </c>
      <c r="C51" s="173"/>
      <c r="D51" s="174"/>
      <c r="E51" s="69">
        <f>+G51/$G$6</f>
        <v>127</v>
      </c>
      <c r="F51" s="676" t="s">
        <v>95</v>
      </c>
      <c r="G51" s="812">
        <f>SUM(G47:G50)</f>
        <v>190500</v>
      </c>
      <c r="H51" s="802">
        <f>SUM(H47:H50)</f>
        <v>7.77503418158072</v>
      </c>
      <c r="K51" s="691"/>
      <c r="L51" s="691"/>
      <c r="M51" s="691"/>
      <c r="N51" s="691"/>
      <c r="O51" s="691"/>
      <c r="P51" s="691"/>
      <c r="Q51" s="691"/>
      <c r="R51" s="691"/>
      <c r="S51" s="691"/>
      <c r="T51" s="691"/>
    </row>
    <row r="52" spans="2:22" x14ac:dyDescent="0.25">
      <c r="B52" s="181"/>
      <c r="C52" s="187"/>
      <c r="D52" s="182"/>
      <c r="E52" s="189"/>
      <c r="F52" s="677"/>
      <c r="G52" s="813"/>
      <c r="H52" s="803"/>
      <c r="K52" s="691"/>
      <c r="L52" s="691"/>
      <c r="M52" s="691"/>
      <c r="N52" s="691"/>
      <c r="O52" s="691"/>
      <c r="P52" s="691"/>
      <c r="Q52" s="691"/>
      <c r="R52" s="691"/>
      <c r="S52" s="691"/>
      <c r="T52" s="691"/>
    </row>
    <row r="53" spans="2:22" ht="13.95" customHeight="1" x14ac:dyDescent="0.25">
      <c r="B53" s="54" t="s">
        <v>106</v>
      </c>
      <c r="C53" s="1522">
        <v>75</v>
      </c>
      <c r="D53" s="695" t="s">
        <v>107</v>
      </c>
      <c r="E53" s="235">
        <v>3.15E-2</v>
      </c>
      <c r="F53" s="675" t="s">
        <v>72</v>
      </c>
      <c r="G53" s="842">
        <f>C53*(E53)*$D$10</f>
        <v>57884.793749999997</v>
      </c>
      <c r="H53" s="843">
        <f>G53/$D$10</f>
        <v>2.3624999999999998</v>
      </c>
      <c r="I53" s="238"/>
      <c r="J53" s="238"/>
      <c r="K53" s="451"/>
      <c r="L53" s="451"/>
      <c r="M53" s="451"/>
      <c r="N53" s="451"/>
      <c r="O53" s="451"/>
      <c r="P53" s="451"/>
      <c r="Q53" s="451"/>
      <c r="R53" s="451"/>
      <c r="S53" s="451"/>
      <c r="T53" s="451"/>
      <c r="U53" s="238"/>
      <c r="V53" s="238"/>
    </row>
    <row r="54" spans="2:22" ht="13.95" customHeight="1" thickBot="1" x14ac:dyDescent="0.3">
      <c r="B54" s="198"/>
      <c r="C54" s="199"/>
      <c r="D54" s="200"/>
      <c r="E54" s="202"/>
      <c r="F54" s="678"/>
      <c r="G54" s="742"/>
      <c r="H54" s="817"/>
      <c r="I54" s="238"/>
      <c r="J54" s="238"/>
      <c r="K54" s="451"/>
      <c r="L54" s="451"/>
      <c r="M54" s="451"/>
      <c r="N54" s="451"/>
      <c r="O54" s="451"/>
      <c r="P54" s="451"/>
      <c r="Q54" s="451"/>
      <c r="R54" s="451"/>
      <c r="S54" s="451"/>
      <c r="T54" s="451"/>
      <c r="U54" s="238"/>
      <c r="V54" s="238"/>
    </row>
    <row r="55" spans="2:22" ht="16.2" customHeight="1" thickBot="1" x14ac:dyDescent="0.3">
      <c r="B55" s="1506" t="s">
        <v>108</v>
      </c>
      <c r="C55" s="1507"/>
      <c r="D55" s="1507"/>
      <c r="E55" s="1508">
        <f>+G55/$G$6</f>
        <v>789.57486249999999</v>
      </c>
      <c r="F55" s="1509"/>
      <c r="G55" s="1510">
        <f>+G53+G45+G39+G31+G51</f>
        <v>1184362.29375</v>
      </c>
      <c r="H55" s="1511">
        <f>+H53+H45+H39+H31</f>
        <v>40.563324439320041</v>
      </c>
      <c r="K55" s="691"/>
      <c r="L55" s="691"/>
      <c r="M55" s="691"/>
      <c r="N55" s="691"/>
      <c r="O55" s="691"/>
      <c r="P55" s="691"/>
      <c r="Q55" s="691"/>
      <c r="R55" s="691"/>
      <c r="S55" s="691"/>
      <c r="T55" s="691"/>
    </row>
    <row r="56" spans="2:22" x14ac:dyDescent="0.25">
      <c r="F56" s="689"/>
      <c r="H56" s="112"/>
      <c r="I56" s="112"/>
      <c r="J56" s="112"/>
      <c r="K56" s="450"/>
      <c r="L56" s="450"/>
      <c r="M56" s="450"/>
      <c r="N56" s="450"/>
      <c r="O56" s="450"/>
      <c r="P56" s="450"/>
      <c r="Q56" s="450"/>
      <c r="R56" s="450"/>
      <c r="S56" s="450"/>
      <c r="T56" s="450"/>
      <c r="U56" s="112"/>
      <c r="V56" s="112"/>
    </row>
    <row r="57" spans="2:22" ht="13.95" customHeight="1" thickBot="1" x14ac:dyDescent="0.3">
      <c r="F57" s="689"/>
      <c r="H57" s="112"/>
      <c r="I57" s="112"/>
      <c r="J57" s="112"/>
      <c r="K57" s="450"/>
      <c r="L57" s="450"/>
      <c r="M57" s="450"/>
      <c r="N57" s="450"/>
      <c r="O57" s="450"/>
      <c r="P57" s="450"/>
      <c r="Q57" s="450"/>
      <c r="R57" s="450"/>
      <c r="S57" s="450"/>
      <c r="T57" s="450"/>
      <c r="U57" s="112"/>
      <c r="V57" s="112"/>
    </row>
    <row r="58" spans="2:22" ht="16.2" customHeight="1" thickBot="1" x14ac:dyDescent="0.3">
      <c r="B58" s="1708" t="s">
        <v>168</v>
      </c>
      <c r="C58" s="1686"/>
      <c r="D58" s="1687"/>
      <c r="I58" s="112"/>
      <c r="J58" s="112"/>
      <c r="K58" s="112"/>
      <c r="L58" s="112"/>
      <c r="M58" s="112"/>
      <c r="N58" s="112"/>
      <c r="O58" s="112"/>
      <c r="P58" s="112"/>
      <c r="Q58" s="112"/>
      <c r="R58" s="112"/>
      <c r="S58" s="112"/>
      <c r="T58" s="112"/>
      <c r="U58" s="112"/>
      <c r="V58" s="112"/>
    </row>
    <row r="59" spans="2:22" ht="18" customHeight="1" thickTop="1" thickBot="1" x14ac:dyDescent="0.3">
      <c r="B59" s="808">
        <v>34207.362000000001</v>
      </c>
      <c r="C59" s="1523">
        <v>7.5</v>
      </c>
      <c r="D59" s="232" t="s">
        <v>72</v>
      </c>
      <c r="E59" s="246"/>
      <c r="F59" s="247"/>
      <c r="G59" s="248" t="s">
        <v>190</v>
      </c>
      <c r="H59" s="262">
        <f>+RESUMEN!L8</f>
        <v>90</v>
      </c>
      <c r="J59" s="244"/>
      <c r="K59" s="244"/>
      <c r="L59" s="244"/>
      <c r="M59" s="244"/>
      <c r="N59" s="244"/>
      <c r="O59" s="244"/>
      <c r="P59" s="244"/>
      <c r="Q59" s="244"/>
      <c r="R59" s="244"/>
      <c r="S59" s="244"/>
      <c r="T59" s="244"/>
      <c r="U59" s="244"/>
      <c r="V59" s="244"/>
    </row>
    <row r="60" spans="2:22" ht="15" customHeight="1" thickTop="1" thickBot="1" x14ac:dyDescent="0.3">
      <c r="G60" s="314" t="s">
        <v>1216</v>
      </c>
      <c r="H60" s="315">
        <f>((G55+E67)/($D$10-C62-C63))/(100-C59)*100</f>
        <v>58.204657705498327</v>
      </c>
      <c r="J60" s="244"/>
      <c r="K60" s="772"/>
      <c r="L60" s="244"/>
      <c r="M60" s="244"/>
      <c r="N60" s="244"/>
      <c r="O60" s="244"/>
      <c r="P60" s="244"/>
      <c r="Q60" s="244"/>
      <c r="R60" s="244"/>
      <c r="S60" s="244"/>
      <c r="T60" s="244"/>
      <c r="U60" s="244"/>
      <c r="V60" s="244"/>
    </row>
    <row r="61" spans="2:22" ht="16.2" customHeight="1" thickBot="1" x14ac:dyDescent="0.3">
      <c r="B61" s="1708" t="s">
        <v>170</v>
      </c>
      <c r="C61" s="1686"/>
      <c r="D61" s="1687"/>
      <c r="H61" s="261"/>
      <c r="K61" s="773"/>
    </row>
    <row r="62" spans="2:22" x14ac:dyDescent="0.25">
      <c r="B62" s="21" t="s">
        <v>113</v>
      </c>
      <c r="C62" s="1524">
        <v>100</v>
      </c>
      <c r="D62" s="232" t="s">
        <v>65</v>
      </c>
      <c r="H62" s="261"/>
      <c r="J62" s="244"/>
      <c r="K62" s="772"/>
      <c r="L62" s="244"/>
      <c r="M62" s="244"/>
      <c r="N62" s="244"/>
      <c r="O62" s="244"/>
      <c r="P62" s="244"/>
      <c r="Q62" s="244"/>
      <c r="R62" s="244"/>
      <c r="S62" s="244"/>
      <c r="T62" s="244"/>
      <c r="U62" s="244"/>
      <c r="V62" s="244"/>
    </row>
    <row r="63" spans="2:22" x14ac:dyDescent="0.25">
      <c r="B63" s="19" t="s">
        <v>115</v>
      </c>
      <c r="C63" s="1524">
        <v>15</v>
      </c>
      <c r="D63" s="232" t="s">
        <v>65</v>
      </c>
      <c r="H63" s="261"/>
      <c r="K63" s="772"/>
    </row>
    <row r="64" spans="2:22" x14ac:dyDescent="0.25">
      <c r="H64" s="261"/>
    </row>
    <row r="65" spans="2:22" ht="13.95" customHeight="1" thickBot="1" x14ac:dyDescent="0.3">
      <c r="H65" s="261"/>
      <c r="I65" s="261"/>
    </row>
    <row r="66" spans="2:22" ht="16.2" customHeight="1" thickBot="1" x14ac:dyDescent="0.3">
      <c r="B66" s="1700" t="s">
        <v>143</v>
      </c>
      <c r="C66" s="1686"/>
      <c r="D66" s="1686"/>
      <c r="E66" s="1687"/>
      <c r="G66" s="449"/>
      <c r="H66" s="261"/>
      <c r="I66" s="261"/>
      <c r="L66" s="244"/>
      <c r="M66" s="244"/>
      <c r="N66" s="244"/>
      <c r="O66" s="244"/>
      <c r="P66" s="244"/>
      <c r="Q66" s="244"/>
      <c r="R66" s="244"/>
      <c r="S66" s="244"/>
      <c r="T66" s="244"/>
      <c r="U66" s="244"/>
      <c r="V66" s="244"/>
    </row>
    <row r="67" spans="2:22" x14ac:dyDescent="0.25">
      <c r="C67" s="263">
        <f>+RESUMEN!D10</f>
        <v>17</v>
      </c>
      <c r="D67" s="456" t="s">
        <v>144</v>
      </c>
      <c r="E67" s="853">
        <v>128590</v>
      </c>
      <c r="F67" s="29" t="s">
        <v>117</v>
      </c>
      <c r="G67" s="859">
        <v>33.832190859967511</v>
      </c>
      <c r="H67" s="349" t="s">
        <v>77</v>
      </c>
      <c r="I67" s="261"/>
      <c r="M67" s="244"/>
      <c r="N67" s="244"/>
      <c r="O67" s="244"/>
      <c r="P67" s="244"/>
      <c r="Q67" s="244"/>
      <c r="R67" s="244"/>
      <c r="S67" s="244"/>
      <c r="T67" s="244"/>
      <c r="U67" s="244"/>
      <c r="V67" s="244"/>
    </row>
    <row r="68" spans="2:22" x14ac:dyDescent="0.25">
      <c r="D68" s="80" t="s">
        <v>118</v>
      </c>
      <c r="E68" s="763">
        <v>770</v>
      </c>
      <c r="H68" s="81"/>
      <c r="I68" s="261"/>
      <c r="J68" s="261"/>
      <c r="L68" s="244"/>
      <c r="M68" s="244"/>
      <c r="N68" s="244"/>
      <c r="O68" s="244"/>
      <c r="P68" s="244"/>
      <c r="Q68" s="244"/>
      <c r="R68" s="244"/>
      <c r="S68" s="244"/>
      <c r="T68" s="244"/>
      <c r="U68" s="244"/>
      <c r="V68" s="244"/>
    </row>
    <row r="69" spans="2:22" ht="15.6" customHeight="1" x14ac:dyDescent="0.25">
      <c r="G69" s="31"/>
      <c r="H69" s="261"/>
      <c r="I69" s="261"/>
      <c r="J69" s="31"/>
      <c r="L69" s="261"/>
      <c r="M69" s="245"/>
      <c r="N69" s="245"/>
      <c r="O69" s="245"/>
      <c r="P69" s="245"/>
      <c r="Q69" s="245"/>
      <c r="R69" s="245"/>
      <c r="S69" s="245"/>
      <c r="T69" s="245"/>
      <c r="U69" s="245"/>
      <c r="V69" s="245"/>
    </row>
    <row r="70" spans="2:22" ht="14.4" customHeight="1" thickBot="1" x14ac:dyDescent="0.3">
      <c r="G70" s="713" t="s">
        <v>171</v>
      </c>
      <c r="H70" s="261"/>
      <c r="I70" s="261"/>
      <c r="L70" s="261"/>
      <c r="M70" s="245"/>
      <c r="N70" s="245"/>
      <c r="O70" s="245"/>
      <c r="P70" s="245"/>
      <c r="Q70" s="245"/>
      <c r="R70" s="245"/>
      <c r="S70" s="245"/>
      <c r="T70" s="245"/>
      <c r="U70" s="245"/>
      <c r="V70" s="245"/>
    </row>
    <row r="71" spans="2:22" ht="18.600000000000001" customHeight="1" thickTop="1" thickBot="1" x14ac:dyDescent="0.3">
      <c r="B71" s="1690" t="s">
        <v>172</v>
      </c>
      <c r="C71" s="1691"/>
      <c r="D71" s="253">
        <v>0.41800152476114272</v>
      </c>
      <c r="E71" s="860">
        <v>120297.87897000011</v>
      </c>
      <c r="F71" s="32" t="s">
        <v>117</v>
      </c>
      <c r="G71" s="830">
        <v>31.650523379440969</v>
      </c>
      <c r="H71" s="33" t="s">
        <v>77</v>
      </c>
      <c r="I71" s="261"/>
      <c r="M71" s="245"/>
      <c r="N71" s="245"/>
      <c r="O71" s="245"/>
      <c r="P71" s="245"/>
      <c r="Q71" s="245"/>
      <c r="R71" s="245"/>
      <c r="S71" s="245"/>
      <c r="T71" s="245"/>
      <c r="U71" s="245"/>
      <c r="V71" s="245"/>
    </row>
    <row r="72" spans="2:22" ht="16.2" customHeight="1" thickTop="1" x14ac:dyDescent="0.25">
      <c r="D72" s="37" t="s">
        <v>118</v>
      </c>
      <c r="E72" s="746">
        <v>720.34658065868314</v>
      </c>
      <c r="H72" s="35"/>
      <c r="I72" s="261"/>
      <c r="J72" s="82"/>
      <c r="L72" s="261"/>
    </row>
    <row r="73" spans="2:22" ht="14.4" customHeight="1" x14ac:dyDescent="0.25">
      <c r="H73" s="261"/>
      <c r="I73" s="261"/>
      <c r="J73" s="711"/>
      <c r="K73" s="711"/>
      <c r="L73" s="244"/>
      <c r="M73" s="244"/>
      <c r="N73" s="244"/>
      <c r="O73" s="244"/>
      <c r="P73" s="244"/>
      <c r="Q73" s="244"/>
      <c r="R73" s="244"/>
      <c r="S73" s="244"/>
      <c r="T73" s="244"/>
      <c r="U73" s="244"/>
      <c r="V73" s="244"/>
    </row>
    <row r="75" spans="2:22" x14ac:dyDescent="0.25">
      <c r="H75" s="261"/>
      <c r="I75" s="244"/>
      <c r="J75" s="244"/>
      <c r="K75" s="244"/>
      <c r="L75" s="244"/>
      <c r="M75" s="244"/>
      <c r="N75" s="244"/>
      <c r="O75" s="244"/>
      <c r="P75" s="244"/>
      <c r="Q75" s="244"/>
      <c r="R75" s="244"/>
      <c r="S75" s="244"/>
      <c r="T75" s="244"/>
      <c r="U75" s="244"/>
      <c r="V75" s="244"/>
    </row>
    <row r="77" spans="2:22" x14ac:dyDescent="0.25">
      <c r="H77" s="261"/>
      <c r="I77" s="245"/>
      <c r="J77" s="245"/>
      <c r="K77" s="245"/>
      <c r="L77" s="245"/>
      <c r="M77" s="245"/>
      <c r="N77" s="245"/>
      <c r="O77" s="245"/>
      <c r="P77" s="245"/>
      <c r="Q77" s="245"/>
      <c r="R77" s="245"/>
      <c r="S77" s="245"/>
      <c r="T77" s="245"/>
      <c r="U77" s="245"/>
      <c r="V77" s="245"/>
    </row>
    <row r="79" spans="2:22" x14ac:dyDescent="0.25">
      <c r="H79" s="261"/>
      <c r="I79" s="244"/>
      <c r="J79" s="244"/>
      <c r="K79" s="244"/>
      <c r="L79" s="244"/>
      <c r="M79" s="244"/>
      <c r="N79" s="244"/>
      <c r="O79" s="244"/>
      <c r="P79" s="244"/>
      <c r="Q79" s="244"/>
      <c r="R79" s="244"/>
      <c r="S79" s="244"/>
      <c r="T79" s="244"/>
      <c r="U79" s="244"/>
      <c r="V79" s="244"/>
    </row>
    <row r="162" s="261" customFormat="1" x14ac:dyDescent="0.25"/>
  </sheetData>
  <sheetProtection algorithmName="SHA-512" hashValue="WVGkutlNd0+7VCgxsyYxzSnAZPUIJS8kw98P8vLHaFYE0cvz3HWupHrLaIwJi3zBCf7V7OFAHCohLjX0LkvqYw==" saltValue="g0BRcMBhIJTCkcTqXi1AUA==" spinCount="100000" sheet="1" objects="1" scenarios="1"/>
  <mergeCells count="7">
    <mergeCell ref="B1:H2"/>
    <mergeCell ref="B71:C71"/>
    <mergeCell ref="B7:D7"/>
    <mergeCell ref="C14:D14"/>
    <mergeCell ref="B58:D58"/>
    <mergeCell ref="B61:D61"/>
    <mergeCell ref="B66:E66"/>
  </mergeCells>
  <pageMargins left="0.7" right="0.7" top="0.75" bottom="0.75" header="0.3" footer="0.3"/>
  <pageSetup paperSize="9" orientation="portrait" verticalDpi="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Seleccionar artículo correcto" promptTitle="Seleccionar artículo" xr:uid="{33D9755A-887A-41A3-BA02-A7FFF30BD9CE}">
          <x14:formula1>
            <xm:f>Valores!$C$6:$C$123</xm:f>
          </x14:formula1>
          <xm:sqref>B41:B44 B32:B38 B47:B50 B15:B30</xm:sqref>
        </x14:dataValidation>
      </x14:dataValidations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P87"/>
  <sheetViews>
    <sheetView showGridLines="0" topLeftCell="A19" workbookViewId="0">
      <selection activeCell="H40" sqref="H40"/>
    </sheetView>
  </sheetViews>
  <sheetFormatPr baseColWidth="10" defaultColWidth="11.44140625" defaultRowHeight="13.2" outlineLevelRow="1" x14ac:dyDescent="0.25"/>
  <cols>
    <col min="1" max="1" width="2.44140625" style="261" customWidth="1"/>
    <col min="2" max="2" width="40.6640625" style="261" customWidth="1"/>
    <col min="3" max="3" width="8.44140625" style="261" bestFit="1" customWidth="1"/>
    <col min="4" max="4" width="9.6640625" style="261" customWidth="1"/>
    <col min="5" max="5" width="11" style="261" customWidth="1"/>
    <col min="6" max="6" width="8.6640625" style="261" customWidth="1"/>
    <col min="7" max="7" width="12.44140625" style="261" customWidth="1"/>
    <col min="8" max="8" width="8.6640625" style="261" customWidth="1"/>
    <col min="9" max="9" width="13.109375" style="690" bestFit="1" customWidth="1"/>
    <col min="10" max="12" width="11.44140625" style="261" customWidth="1"/>
    <col min="13" max="16384" width="11.44140625" style="261"/>
  </cols>
  <sheetData>
    <row r="1" spans="2:16" ht="12.75" customHeight="1" thickBot="1" x14ac:dyDescent="0.3">
      <c r="B1" s="1817" t="s">
        <v>958</v>
      </c>
      <c r="C1" s="1818"/>
      <c r="D1" s="1818"/>
      <c r="E1" s="1818"/>
      <c r="F1" s="1818"/>
      <c r="G1" s="1818"/>
      <c r="H1" s="1819"/>
      <c r="I1" s="450"/>
      <c r="J1" s="691"/>
      <c r="K1" s="691"/>
      <c r="L1" s="691"/>
      <c r="M1" s="691"/>
      <c r="N1" s="691"/>
      <c r="O1" s="691"/>
      <c r="P1" s="691"/>
    </row>
    <row r="2" spans="2:16" ht="12.75" customHeight="1" thickBot="1" x14ac:dyDescent="0.3">
      <c r="B2" s="1820"/>
      <c r="C2" s="1821"/>
      <c r="D2" s="1821"/>
      <c r="E2" s="1821"/>
      <c r="F2" s="1821"/>
      <c r="G2" s="1821"/>
      <c r="H2" s="1822"/>
      <c r="I2" s="691"/>
      <c r="J2" s="691"/>
      <c r="K2" s="691"/>
      <c r="L2" s="691"/>
      <c r="M2" s="691"/>
      <c r="N2" s="691"/>
      <c r="O2" s="691"/>
      <c r="P2" s="691"/>
    </row>
    <row r="3" spans="2:16" ht="12.75" customHeight="1" x14ac:dyDescent="0.25">
      <c r="B3" s="113"/>
      <c r="C3" s="113"/>
      <c r="D3" s="113"/>
      <c r="E3" s="113"/>
      <c r="F3" s="113"/>
      <c r="G3" s="113"/>
      <c r="H3" s="113"/>
      <c r="I3" s="691"/>
      <c r="J3" s="691"/>
      <c r="K3" s="691"/>
      <c r="L3" s="691"/>
      <c r="M3" s="691"/>
      <c r="N3" s="691"/>
      <c r="O3" s="691"/>
      <c r="P3" s="691"/>
    </row>
    <row r="4" spans="2:16" ht="12.75" customHeight="1" x14ac:dyDescent="0.25">
      <c r="B4" s="114"/>
      <c r="C4" s="114"/>
      <c r="D4" s="114"/>
      <c r="E4" s="114"/>
      <c r="F4" s="114"/>
      <c r="G4" s="114"/>
      <c r="I4" s="691"/>
      <c r="J4" s="691"/>
      <c r="K4" s="691"/>
      <c r="L4" s="691"/>
      <c r="M4" s="691"/>
      <c r="N4" s="691"/>
      <c r="O4" s="691"/>
      <c r="P4" s="691"/>
    </row>
    <row r="5" spans="2:16" ht="13.95" customHeight="1" x14ac:dyDescent="0.25">
      <c r="B5" s="76" t="s">
        <v>64</v>
      </c>
      <c r="C5" s="77"/>
      <c r="D5" s="831">
        <f>+RESUMEN!N4</f>
        <v>90300</v>
      </c>
      <c r="E5" s="78" t="s">
        <v>65</v>
      </c>
      <c r="G5" s="300" t="s">
        <v>186</v>
      </c>
      <c r="I5" s="691"/>
      <c r="J5" s="691"/>
      <c r="K5" s="691"/>
      <c r="L5" s="691"/>
      <c r="M5" s="691"/>
      <c r="N5" s="691"/>
      <c r="O5" s="691"/>
      <c r="P5" s="691"/>
    </row>
    <row r="6" spans="2:16" ht="13.95" customHeight="1" thickBot="1" x14ac:dyDescent="0.3">
      <c r="B6" s="712"/>
      <c r="C6" s="712"/>
      <c r="D6" s="712"/>
      <c r="E6" s="712"/>
      <c r="G6" s="457">
        <f>+RESUMEN!Q13</f>
        <v>1500</v>
      </c>
      <c r="H6" s="6" t="s">
        <v>187</v>
      </c>
      <c r="I6" s="691"/>
      <c r="J6" s="691"/>
      <c r="K6" s="691"/>
      <c r="L6" s="691"/>
      <c r="M6" s="691"/>
      <c r="N6" s="691"/>
      <c r="O6" s="691"/>
      <c r="P6" s="691"/>
    </row>
    <row r="7" spans="2:16" ht="17.399999999999999" customHeight="1" thickBot="1" x14ac:dyDescent="0.35">
      <c r="B7" s="1712" t="s">
        <v>68</v>
      </c>
      <c r="C7" s="1686"/>
      <c r="D7" s="1687"/>
      <c r="E7" s="712"/>
      <c r="I7" s="691"/>
      <c r="J7" s="691"/>
      <c r="K7" s="691"/>
      <c r="L7" s="691"/>
      <c r="M7" s="691"/>
      <c r="N7" s="691"/>
      <c r="O7" s="691"/>
      <c r="P7" s="691"/>
    </row>
    <row r="8" spans="2:16" x14ac:dyDescent="0.25">
      <c r="B8" s="21" t="s">
        <v>70</v>
      </c>
      <c r="C8" s="75"/>
      <c r="D8" s="133">
        <f>+RESUMEN!$Q$14</f>
        <v>3400</v>
      </c>
      <c r="E8" s="715" t="s">
        <v>65</v>
      </c>
      <c r="I8" s="691"/>
      <c r="J8" s="691"/>
      <c r="K8" s="691"/>
      <c r="L8" s="691"/>
      <c r="M8" s="691"/>
      <c r="N8" s="691"/>
      <c r="O8" s="691"/>
      <c r="P8" s="691"/>
    </row>
    <row r="9" spans="2:16" x14ac:dyDescent="0.25">
      <c r="B9" s="21" t="s">
        <v>71</v>
      </c>
      <c r="C9" s="693"/>
      <c r="D9" s="1666">
        <v>2.1000000000000001E-2</v>
      </c>
      <c r="E9" s="266" t="s">
        <v>72</v>
      </c>
      <c r="I9" s="691"/>
      <c r="J9" s="691"/>
      <c r="K9" s="691"/>
      <c r="L9" s="691"/>
      <c r="M9" s="691"/>
      <c r="N9" s="691"/>
      <c r="O9" s="691"/>
      <c r="P9" s="691"/>
    </row>
    <row r="10" spans="2:16" x14ac:dyDescent="0.25">
      <c r="B10" s="11" t="s">
        <v>73</v>
      </c>
      <c r="C10" s="12"/>
      <c r="D10" s="12">
        <f>+D5*(1-D9)-D8</f>
        <v>85003.7</v>
      </c>
      <c r="E10" s="715" t="s">
        <v>65</v>
      </c>
      <c r="I10" s="691"/>
      <c r="J10" s="691"/>
      <c r="K10" s="691"/>
      <c r="L10" s="691"/>
      <c r="M10" s="691"/>
      <c r="N10" s="691"/>
      <c r="O10" s="691"/>
      <c r="P10" s="691"/>
    </row>
    <row r="11" spans="2:16" x14ac:dyDescent="0.25">
      <c r="E11" s="694"/>
      <c r="I11" s="691"/>
      <c r="J11" s="691"/>
      <c r="K11" s="691"/>
      <c r="L11" s="691"/>
      <c r="M11" s="691"/>
      <c r="N11" s="691"/>
      <c r="O11" s="691"/>
      <c r="P11" s="691"/>
    </row>
    <row r="12" spans="2:16" ht="13.95" customHeight="1" thickBot="1" x14ac:dyDescent="0.3">
      <c r="E12" s="694"/>
      <c r="I12" s="691"/>
      <c r="J12" s="691"/>
      <c r="K12" s="691"/>
      <c r="L12" s="691"/>
      <c r="M12" s="691"/>
      <c r="N12" s="691"/>
      <c r="O12" s="691"/>
      <c r="P12" s="691"/>
    </row>
    <row r="13" spans="2:16" ht="17.399999999999999" customHeight="1" thickBot="1" x14ac:dyDescent="0.35">
      <c r="B13" s="53" t="s">
        <v>74</v>
      </c>
      <c r="C13" s="703"/>
      <c r="D13" s="704"/>
      <c r="E13" s="44" t="s">
        <v>75</v>
      </c>
      <c r="F13" s="14"/>
      <c r="G13" s="301" t="s">
        <v>76</v>
      </c>
      <c r="H13" s="40" t="s">
        <v>77</v>
      </c>
      <c r="I13" s="691"/>
      <c r="J13" s="691"/>
      <c r="K13" s="691"/>
      <c r="L13" s="691"/>
      <c r="M13" s="691"/>
      <c r="N13" s="691"/>
      <c r="O13" s="691"/>
      <c r="P13" s="691"/>
    </row>
    <row r="14" spans="2:16" ht="13.95" customHeight="1" thickBot="1" x14ac:dyDescent="0.3">
      <c r="B14" s="38" t="s">
        <v>78</v>
      </c>
      <c r="C14" s="1713" t="s">
        <v>79</v>
      </c>
      <c r="D14" s="1687"/>
      <c r="E14" s="46" t="s">
        <v>188</v>
      </c>
      <c r="F14" s="47" t="s">
        <v>82</v>
      </c>
      <c r="G14" s="50" t="s">
        <v>188</v>
      </c>
      <c r="H14" s="302" t="s">
        <v>188</v>
      </c>
      <c r="I14" s="691"/>
      <c r="J14" s="691"/>
      <c r="K14" s="691"/>
      <c r="L14" s="691"/>
      <c r="M14" s="691"/>
      <c r="N14" s="691"/>
      <c r="O14" s="691"/>
      <c r="P14" s="691"/>
    </row>
    <row r="15" spans="2:16" x14ac:dyDescent="0.25">
      <c r="B15" s="1653" t="s">
        <v>1095</v>
      </c>
      <c r="C15" s="1520">
        <v>1.5</v>
      </c>
      <c r="D15" s="1377" t="str">
        <f>IFERROR(INDEX(Valores!E:E,MATCH(B15,Valores!C:C,0),1),"")</f>
        <v>Lts/Ha.</v>
      </c>
      <c r="E15" s="1378">
        <f>SUMIF(Valores!C:C,B15,Valores!F:F)</f>
        <v>3.5</v>
      </c>
      <c r="F15" s="1366" t="str">
        <f>IFERROR(INDEX(Valores!G:G,MATCH(B15,Valores!C:C,0),1),"")</f>
        <v>U$S/Lts.</v>
      </c>
      <c r="G15" s="832">
        <f t="shared" ref="G15:G39" si="0">+E15*C15*$G$6</f>
        <v>7875</v>
      </c>
      <c r="H15" s="833">
        <f t="shared" ref="H15:H39" si="1">G15/$D$10</f>
        <v>9.2643026127098002E-2</v>
      </c>
      <c r="I15" s="838"/>
      <c r="J15" s="691"/>
      <c r="K15" s="691"/>
      <c r="L15" s="691"/>
      <c r="M15" s="691"/>
      <c r="N15" s="691"/>
      <c r="O15" s="691"/>
      <c r="P15" s="691"/>
    </row>
    <row r="16" spans="2:16" x14ac:dyDescent="0.25">
      <c r="B16" s="1654" t="s">
        <v>1098</v>
      </c>
      <c r="C16" s="1521">
        <v>0.2</v>
      </c>
      <c r="D16" s="1377" t="str">
        <f>IFERROR(INDEX(Valores!E:E,MATCH(B16,Valores!C:C,0),1),"")</f>
        <v>Lts/Ha.</v>
      </c>
      <c r="E16" s="1378">
        <f>SUMIF(Valores!C:C,B16,Valores!F:F)</f>
        <v>18.5</v>
      </c>
      <c r="F16" s="1366" t="str">
        <f>IFERROR(INDEX(Valores!G:G,MATCH(B16,Valores!C:C,0),1),"")</f>
        <v>U$S/Lts.</v>
      </c>
      <c r="G16" s="836">
        <f t="shared" si="0"/>
        <v>5550</v>
      </c>
      <c r="H16" s="837">
        <f t="shared" si="1"/>
        <v>6.5291275556240494E-2</v>
      </c>
      <c r="I16" s="838"/>
      <c r="J16" s="691"/>
      <c r="K16" s="691"/>
      <c r="L16" s="691"/>
      <c r="M16" s="691"/>
      <c r="N16" s="691"/>
      <c r="O16" s="691"/>
      <c r="P16" s="691"/>
    </row>
    <row r="17" spans="2:16" x14ac:dyDescent="0.25">
      <c r="B17" s="1654"/>
      <c r="C17" s="1521"/>
      <c r="D17" s="1377" t="str">
        <f>IFERROR(INDEX(Valores!E:E,MATCH(B17,Valores!C:C,0),1),"")</f>
        <v/>
      </c>
      <c r="E17" s="1378">
        <f>SUMIF(Valores!C:C,B17,Valores!F:F)</f>
        <v>0</v>
      </c>
      <c r="F17" s="1366" t="str">
        <f>IFERROR(INDEX(Valores!G:G,MATCH(B17,Valores!C:C,0),1),"")</f>
        <v/>
      </c>
      <c r="G17" s="834">
        <f t="shared" si="0"/>
        <v>0</v>
      </c>
      <c r="H17" s="835">
        <f t="shared" si="1"/>
        <v>0</v>
      </c>
      <c r="I17" s="691"/>
      <c r="J17" s="691"/>
      <c r="K17" s="691"/>
      <c r="L17" s="691"/>
      <c r="M17" s="691"/>
      <c r="N17" s="691"/>
      <c r="O17" s="691"/>
      <c r="P17" s="691"/>
    </row>
    <row r="18" spans="2:16" x14ac:dyDescent="0.25">
      <c r="B18" s="1654"/>
      <c r="C18" s="1521"/>
      <c r="D18" s="1377" t="str">
        <f>IFERROR(INDEX(Valores!E:E,MATCH(B18,Valores!C:C,0),1),"")</f>
        <v/>
      </c>
      <c r="E18" s="1378">
        <f>SUMIF(Valores!C:C,B18,Valores!F:F)</f>
        <v>0</v>
      </c>
      <c r="F18" s="1366" t="str">
        <f>IFERROR(INDEX(Valores!G:G,MATCH(B18,Valores!C:C,0),1),"")</f>
        <v/>
      </c>
      <c r="G18" s="836">
        <f t="shared" si="0"/>
        <v>0</v>
      </c>
      <c r="H18" s="837">
        <f t="shared" si="1"/>
        <v>0</v>
      </c>
      <c r="I18" s="691"/>
      <c r="J18" s="691"/>
      <c r="K18" s="691"/>
      <c r="L18" s="691"/>
      <c r="M18" s="691"/>
      <c r="N18" s="691"/>
      <c r="O18" s="691"/>
      <c r="P18" s="691"/>
    </row>
    <row r="19" spans="2:16" x14ac:dyDescent="0.25">
      <c r="B19" s="1654" t="s">
        <v>1205</v>
      </c>
      <c r="C19" s="1521">
        <v>3.5</v>
      </c>
      <c r="D19" s="1377" t="str">
        <f>IFERROR(INDEX(Valores!E:E,MATCH(B19,Valores!C:C,0),1),"")</f>
        <v>Kg/Ha.</v>
      </c>
      <c r="E19" s="1378">
        <f>SUMIF(Valores!C:C,B19,Valores!F:F)</f>
        <v>6.1</v>
      </c>
      <c r="F19" s="1366" t="str">
        <f>IFERROR(INDEX(Valores!G:G,MATCH(B19,Valores!C:C,0),1),"")</f>
        <v>U$S/Kg.</v>
      </c>
      <c r="G19" s="834">
        <f t="shared" si="0"/>
        <v>32024.999999999996</v>
      </c>
      <c r="H19" s="835">
        <f t="shared" si="1"/>
        <v>0.37674830625019851</v>
      </c>
      <c r="I19" s="691"/>
      <c r="J19" s="691"/>
      <c r="K19" s="691"/>
      <c r="L19" s="691"/>
      <c r="M19" s="691"/>
      <c r="N19" s="691"/>
      <c r="O19" s="691"/>
      <c r="P19" s="691"/>
    </row>
    <row r="20" spans="2:16" x14ac:dyDescent="0.25">
      <c r="B20" s="1654"/>
      <c r="C20" s="1521"/>
      <c r="D20" s="1377" t="str">
        <f>IFERROR(INDEX(Valores!E:E,MATCH(B20,Valores!C:C,0),1),"")</f>
        <v/>
      </c>
      <c r="E20" s="1378">
        <f>SUMIF(Valores!C:C,B20,Valores!F:F)</f>
        <v>0</v>
      </c>
      <c r="F20" s="1366" t="str">
        <f>IFERROR(INDEX(Valores!G:G,MATCH(B20,Valores!C:C,0),1),"")</f>
        <v/>
      </c>
      <c r="G20" s="834">
        <f t="shared" si="0"/>
        <v>0</v>
      </c>
      <c r="H20" s="835">
        <f t="shared" si="1"/>
        <v>0</v>
      </c>
      <c r="I20" s="691"/>
      <c r="J20" s="691"/>
      <c r="K20" s="691"/>
      <c r="L20" s="691"/>
      <c r="M20" s="691"/>
      <c r="N20" s="691"/>
      <c r="O20" s="691"/>
      <c r="P20" s="691"/>
    </row>
    <row r="21" spans="2:16" x14ac:dyDescent="0.25">
      <c r="B21" s="1654"/>
      <c r="C21" s="1521"/>
      <c r="D21" s="1377" t="str">
        <f>IFERROR(INDEX(Valores!E:E,MATCH(B21,Valores!C:C,0),1),"")</f>
        <v/>
      </c>
      <c r="E21" s="1378">
        <f>SUMIF(Valores!C:C,B21,Valores!F:F)</f>
        <v>0</v>
      </c>
      <c r="F21" s="1366" t="str">
        <f>IFERROR(INDEX(Valores!G:G,MATCH(B21,Valores!C:C,0),1),"")</f>
        <v/>
      </c>
      <c r="G21" s="836">
        <f t="shared" si="0"/>
        <v>0</v>
      </c>
      <c r="H21" s="837">
        <f t="shared" si="1"/>
        <v>0</v>
      </c>
      <c r="I21" s="691"/>
      <c r="J21" s="691"/>
      <c r="K21" s="691"/>
      <c r="L21" s="691"/>
      <c r="M21" s="691"/>
      <c r="N21" s="691"/>
      <c r="O21" s="691"/>
      <c r="P21" s="691"/>
    </row>
    <row r="22" spans="2:16" x14ac:dyDescent="0.25">
      <c r="B22" s="1654" t="s">
        <v>1197</v>
      </c>
      <c r="C22" s="1521">
        <v>2</v>
      </c>
      <c r="D22" s="1377" t="str">
        <f>IFERROR(INDEX(Valores!E:E,MATCH(B22,Valores!C:C,0),1),"")</f>
        <v>Lts/Ha.</v>
      </c>
      <c r="E22" s="1378">
        <f>SUMIF(Valores!C:C,B22,Valores!F:F)</f>
        <v>4.6500000000000004</v>
      </c>
      <c r="F22" s="1366" t="str">
        <f>IFERROR(INDEX(Valores!G:G,MATCH(B22,Valores!C:C,0),1),"")</f>
        <v>U$S/Lts.</v>
      </c>
      <c r="G22" s="836">
        <f t="shared" si="0"/>
        <v>13950.000000000002</v>
      </c>
      <c r="H22" s="837">
        <f t="shared" si="1"/>
        <v>0.16411050342514505</v>
      </c>
      <c r="I22" s="691"/>
      <c r="J22" s="691"/>
      <c r="K22" s="691"/>
      <c r="L22" s="691"/>
      <c r="M22" s="691"/>
      <c r="N22" s="691"/>
      <c r="O22" s="691"/>
      <c r="P22" s="691"/>
    </row>
    <row r="23" spans="2:16" x14ac:dyDescent="0.25">
      <c r="B23" s="1654" t="s">
        <v>1219</v>
      </c>
      <c r="C23" s="1521">
        <v>8.5000000000000006E-2</v>
      </c>
      <c r="D23" s="1377" t="str">
        <f>IFERROR(INDEX(Valores!E:E,MATCH(B23,Valores!C:C,0),1),"")</f>
        <v>Kg/Ha.</v>
      </c>
      <c r="E23" s="1378">
        <f>SUMIF(Valores!C:C,B23,Valores!F:F)</f>
        <v>90</v>
      </c>
      <c r="F23" s="1366" t="str">
        <f>IFERROR(INDEX(Valores!G:G,MATCH(B23,Valores!C:C,0),1),"")</f>
        <v>U$S/Kg.</v>
      </c>
      <c r="G23" s="836">
        <f t="shared" si="0"/>
        <v>11475</v>
      </c>
      <c r="H23" s="837">
        <f t="shared" si="1"/>
        <v>0.13499412378519995</v>
      </c>
      <c r="I23" s="691"/>
      <c r="J23" s="691"/>
      <c r="K23" s="691"/>
      <c r="L23" s="691"/>
      <c r="M23" s="691"/>
      <c r="N23" s="691"/>
      <c r="O23" s="691"/>
      <c r="P23" s="691"/>
    </row>
    <row r="24" spans="2:16" x14ac:dyDescent="0.25">
      <c r="B24" s="1654"/>
      <c r="C24" s="1521"/>
      <c r="D24" s="1377" t="str">
        <f>IFERROR(INDEX(Valores!E:E,MATCH(B24,Valores!C:C,0),1),"")</f>
        <v/>
      </c>
      <c r="E24" s="1378">
        <f>SUMIF(Valores!C:C,B24,Valores!F:F)</f>
        <v>0</v>
      </c>
      <c r="F24" s="1366" t="str">
        <f>IFERROR(INDEX(Valores!G:G,MATCH(B24,Valores!C:C,0),1),"")</f>
        <v/>
      </c>
      <c r="G24" s="836">
        <f t="shared" si="0"/>
        <v>0</v>
      </c>
      <c r="H24" s="837">
        <f t="shared" si="1"/>
        <v>0</v>
      </c>
      <c r="I24" s="691"/>
      <c r="J24" s="691"/>
      <c r="K24" s="691"/>
      <c r="L24" s="691"/>
      <c r="M24" s="691"/>
      <c r="N24" s="691"/>
      <c r="O24" s="691"/>
      <c r="P24" s="691"/>
    </row>
    <row r="25" spans="2:16" x14ac:dyDescent="0.25">
      <c r="B25" s="1654" t="s">
        <v>1207</v>
      </c>
      <c r="C25" s="1521">
        <v>0.5</v>
      </c>
      <c r="D25" s="1377" t="str">
        <f>IFERROR(INDEX(Valores!E:E,MATCH(B25,Valores!C:C,0),1),"")</f>
        <v>Lts/Ha.</v>
      </c>
      <c r="E25" s="1378">
        <f>SUMIF(Valores!C:C,B25,Valores!F:F)</f>
        <v>74.2</v>
      </c>
      <c r="F25" s="1366" t="str">
        <f>IFERROR(INDEX(Valores!G:G,MATCH(B25,Valores!C:C,0),1),"")</f>
        <v>U$S/Lts.</v>
      </c>
      <c r="G25" s="836">
        <f t="shared" si="0"/>
        <v>55650</v>
      </c>
      <c r="H25" s="837">
        <f t="shared" si="1"/>
        <v>0.6546773846314925</v>
      </c>
      <c r="I25" s="691"/>
      <c r="J25" s="691"/>
      <c r="K25" s="691"/>
      <c r="L25" s="691"/>
      <c r="M25" s="691"/>
      <c r="N25" s="691"/>
      <c r="O25" s="691"/>
      <c r="P25" s="691"/>
    </row>
    <row r="26" spans="2:16" x14ac:dyDescent="0.25">
      <c r="B26" s="1654"/>
      <c r="C26" s="1521"/>
      <c r="D26" s="1377" t="str">
        <f>IFERROR(INDEX(Valores!E:E,MATCH(B26,Valores!C:C,0),1),"")</f>
        <v/>
      </c>
      <c r="E26" s="1378">
        <f>SUMIF(Valores!C:C,B26,Valores!F:F)</f>
        <v>0</v>
      </c>
      <c r="F26" s="1366" t="str">
        <f>IFERROR(INDEX(Valores!G:G,MATCH(B26,Valores!C:C,0),1),"")</f>
        <v/>
      </c>
      <c r="G26" s="836">
        <f t="shared" ref="G26:G31" si="2">+E26*C26*$G$6</f>
        <v>0</v>
      </c>
      <c r="H26" s="837">
        <f t="shared" ref="H26:H31" si="3">G26/$D$10</f>
        <v>0</v>
      </c>
      <c r="I26" s="691"/>
      <c r="J26" s="691"/>
      <c r="K26" s="691"/>
      <c r="L26" s="691"/>
      <c r="M26" s="691"/>
      <c r="N26" s="691"/>
      <c r="O26" s="691"/>
      <c r="P26" s="691"/>
    </row>
    <row r="27" spans="2:16" x14ac:dyDescent="0.25">
      <c r="B27" s="1654" t="s">
        <v>1203</v>
      </c>
      <c r="C27" s="1521">
        <v>2</v>
      </c>
      <c r="D27" s="1377" t="str">
        <f>IFERROR(INDEX(Valores!E:E,MATCH(B27,Valores!C:C,0),1),"")</f>
        <v>Lts/Ha.</v>
      </c>
      <c r="E27" s="1378">
        <f>SUMIF(Valores!C:C,B27,Valores!F:F)</f>
        <v>7.8</v>
      </c>
      <c r="F27" s="1366" t="str">
        <f>IFERROR(INDEX(Valores!G:G,MATCH(B27,Valores!C:C,0),1),"")</f>
        <v>U$S/Lts.</v>
      </c>
      <c r="G27" s="836">
        <f t="shared" si="2"/>
        <v>23400</v>
      </c>
      <c r="H27" s="837">
        <f t="shared" si="3"/>
        <v>0.27528213477766261</v>
      </c>
      <c r="I27" s="691"/>
      <c r="J27" s="691"/>
      <c r="K27" s="691"/>
      <c r="L27" s="691"/>
      <c r="M27" s="691"/>
      <c r="N27" s="691"/>
      <c r="O27" s="691"/>
      <c r="P27" s="691"/>
    </row>
    <row r="28" spans="2:16" x14ac:dyDescent="0.25">
      <c r="B28" s="1654" t="s">
        <v>1204</v>
      </c>
      <c r="C28" s="1521">
        <v>0.2</v>
      </c>
      <c r="D28" s="1377" t="str">
        <f>IFERROR(INDEX(Valores!E:E,MATCH(B28,Valores!C:C,0),1),"")</f>
        <v>Lts/Ha.</v>
      </c>
      <c r="E28" s="1378">
        <f>SUMIF(Valores!C:C,B28,Valores!F:F)</f>
        <v>22</v>
      </c>
      <c r="F28" s="1366" t="str">
        <f>IFERROR(INDEX(Valores!G:G,MATCH(B28,Valores!C:C,0),1),"")</f>
        <v>U$S/Lts.</v>
      </c>
      <c r="G28" s="836">
        <f t="shared" si="2"/>
        <v>6600.0000000000009</v>
      </c>
      <c r="H28" s="837">
        <f t="shared" si="3"/>
        <v>7.7643679039853572E-2</v>
      </c>
      <c r="I28" s="691"/>
      <c r="J28" s="691"/>
      <c r="K28" s="691"/>
      <c r="L28" s="691"/>
      <c r="M28" s="691"/>
      <c r="N28" s="691"/>
      <c r="O28" s="691"/>
      <c r="P28" s="691"/>
    </row>
    <row r="29" spans="2:16" x14ac:dyDescent="0.25">
      <c r="B29" s="1654"/>
      <c r="C29" s="1521"/>
      <c r="D29" s="1377" t="str">
        <f>IFERROR(INDEX(Valores!E:E,MATCH(B29,Valores!C:C,0),1),"")</f>
        <v/>
      </c>
      <c r="E29" s="1378">
        <f>SUMIF(Valores!C:C,B29,Valores!F:F)</f>
        <v>0</v>
      </c>
      <c r="F29" s="1366" t="str">
        <f>IFERROR(INDEX(Valores!G:G,MATCH(B29,Valores!C:C,0),1),"")</f>
        <v/>
      </c>
      <c r="G29" s="836">
        <f t="shared" si="2"/>
        <v>0</v>
      </c>
      <c r="H29" s="837">
        <f t="shared" si="3"/>
        <v>0</v>
      </c>
      <c r="I29" s="691"/>
      <c r="J29" s="691"/>
      <c r="K29" s="691"/>
      <c r="L29" s="691"/>
      <c r="M29" s="691"/>
      <c r="N29" s="691"/>
      <c r="O29" s="691"/>
      <c r="P29" s="691"/>
    </row>
    <row r="30" spans="2:16" x14ac:dyDescent="0.25">
      <c r="B30" s="1654"/>
      <c r="C30" s="1521"/>
      <c r="D30" s="1377" t="str">
        <f>IFERROR(INDEX(Valores!E:E,MATCH(B30,Valores!C:C,0),1),"")</f>
        <v/>
      </c>
      <c r="E30" s="1378">
        <f>SUMIF(Valores!C:C,B30,Valores!F:F)</f>
        <v>0</v>
      </c>
      <c r="F30" s="1366" t="str">
        <f>IFERROR(INDEX(Valores!G:G,MATCH(B30,Valores!C:C,0),1),"")</f>
        <v/>
      </c>
      <c r="G30" s="836">
        <f t="shared" si="2"/>
        <v>0</v>
      </c>
      <c r="H30" s="837">
        <f t="shared" si="3"/>
        <v>0</v>
      </c>
      <c r="I30" s="691"/>
      <c r="J30" s="691"/>
      <c r="K30" s="691"/>
      <c r="L30" s="691"/>
      <c r="M30" s="691"/>
      <c r="N30" s="691"/>
      <c r="O30" s="691"/>
      <c r="P30" s="691"/>
    </row>
    <row r="31" spans="2:16" x14ac:dyDescent="0.25">
      <c r="B31" s="1654"/>
      <c r="C31" s="1521"/>
      <c r="D31" s="1377" t="str">
        <f>IFERROR(INDEX(Valores!E:E,MATCH(B31,Valores!C:C,0),1),"")</f>
        <v/>
      </c>
      <c r="E31" s="1378">
        <f>SUMIF(Valores!C:C,B31,Valores!F:F)</f>
        <v>0</v>
      </c>
      <c r="F31" s="1366" t="str">
        <f>IFERROR(INDEX(Valores!G:G,MATCH(B31,Valores!C:C,0),1),"")</f>
        <v/>
      </c>
      <c r="G31" s="836">
        <f t="shared" si="2"/>
        <v>0</v>
      </c>
      <c r="H31" s="837">
        <f t="shared" si="3"/>
        <v>0</v>
      </c>
      <c r="I31" s="691"/>
      <c r="J31" s="691"/>
      <c r="K31" s="691"/>
      <c r="L31" s="691"/>
      <c r="M31" s="691"/>
      <c r="N31" s="691"/>
      <c r="O31" s="691"/>
      <c r="P31" s="691"/>
    </row>
    <row r="32" spans="2:16" x14ac:dyDescent="0.25">
      <c r="B32" s="1654"/>
      <c r="C32" s="1521"/>
      <c r="D32" s="1377" t="str">
        <f>IFERROR(INDEX(Valores!E:E,MATCH(B32,Valores!C:C,0),1),"")</f>
        <v/>
      </c>
      <c r="E32" s="1378">
        <f>SUMIF(Valores!C:C,B32,Valores!F:F)</f>
        <v>0</v>
      </c>
      <c r="F32" s="1366" t="str">
        <f>IFERROR(INDEX(Valores!G:G,MATCH(B32,Valores!C:C,0),1),"")</f>
        <v/>
      </c>
      <c r="G32" s="836">
        <f t="shared" si="0"/>
        <v>0</v>
      </c>
      <c r="H32" s="837">
        <f t="shared" si="1"/>
        <v>0</v>
      </c>
      <c r="I32" s="691"/>
      <c r="J32" s="691"/>
      <c r="K32" s="691"/>
      <c r="L32" s="691"/>
      <c r="M32" s="691"/>
      <c r="N32" s="691"/>
      <c r="O32" s="691"/>
      <c r="P32" s="691"/>
    </row>
    <row r="33" spans="2:16" x14ac:dyDescent="0.25">
      <c r="B33" s="1654" t="s">
        <v>1085</v>
      </c>
      <c r="C33" s="1521">
        <v>0.3</v>
      </c>
      <c r="D33" s="1377" t="str">
        <f>IFERROR(INDEX(Valores!E:E,MATCH(B33,Valores!C:C,0),1),"")</f>
        <v>Lts/Ha.</v>
      </c>
      <c r="E33" s="1378">
        <f>SUMIF(Valores!C:C,B33,Valores!F:F)</f>
        <v>30.5</v>
      </c>
      <c r="F33" s="1366" t="str">
        <f>IFERROR(INDEX(Valores!G:G,MATCH(B33,Valores!C:C,0),1),"")</f>
        <v>U$S/Lts.</v>
      </c>
      <c r="G33" s="836">
        <f t="shared" si="0"/>
        <v>13725</v>
      </c>
      <c r="H33" s="837">
        <f t="shared" si="1"/>
        <v>0.16146355982151367</v>
      </c>
      <c r="I33" s="691"/>
      <c r="J33" s="691"/>
      <c r="K33" s="691"/>
      <c r="L33" s="691"/>
      <c r="M33" s="691"/>
      <c r="N33" s="691"/>
      <c r="O33" s="691"/>
      <c r="P33" s="691"/>
    </row>
    <row r="34" spans="2:16" x14ac:dyDescent="0.25">
      <c r="B34" s="1654" t="s">
        <v>1117</v>
      </c>
      <c r="C34" s="1521">
        <v>1.2</v>
      </c>
      <c r="D34" s="1377" t="str">
        <f>IFERROR(INDEX(Valores!E:E,MATCH(B34,Valores!C:C,0),1),"")</f>
        <v>Lts/Ha.</v>
      </c>
      <c r="E34" s="1378">
        <f>SUMIF(Valores!C:C,B34,Valores!F:F)</f>
        <v>43.2</v>
      </c>
      <c r="F34" s="1366" t="str">
        <f>IFERROR(INDEX(Valores!G:G,MATCH(B34,Valores!C:C,0),1),"")</f>
        <v>U$S/Lts.</v>
      </c>
      <c r="G34" s="836">
        <f t="shared" si="0"/>
        <v>77760</v>
      </c>
      <c r="H34" s="837">
        <f t="shared" si="1"/>
        <v>0.91478370941500198</v>
      </c>
      <c r="I34" s="691"/>
      <c r="J34" s="691"/>
      <c r="K34" s="691"/>
      <c r="L34" s="691"/>
      <c r="M34" s="691"/>
      <c r="N34" s="691"/>
      <c r="O34" s="691"/>
      <c r="P34" s="691"/>
    </row>
    <row r="35" spans="2:16" x14ac:dyDescent="0.25">
      <c r="B35" s="1654"/>
      <c r="C35" s="1521"/>
      <c r="D35" s="1377" t="str">
        <f>IFERROR(INDEX(Valores!E:E,MATCH(B35,Valores!C:C,0),1),"")</f>
        <v/>
      </c>
      <c r="E35" s="1378">
        <f>SUMIF(Valores!C:C,B35,Valores!F:F)</f>
        <v>0</v>
      </c>
      <c r="F35" s="1366" t="str">
        <f>IFERROR(INDEX(Valores!G:G,MATCH(B35,Valores!C:C,0),1),"")</f>
        <v/>
      </c>
      <c r="G35" s="836">
        <f t="shared" si="0"/>
        <v>0</v>
      </c>
      <c r="H35" s="837">
        <f t="shared" si="1"/>
        <v>0</v>
      </c>
      <c r="I35" s="691"/>
      <c r="J35" s="691"/>
      <c r="K35" s="691"/>
      <c r="L35" s="691"/>
      <c r="M35" s="691"/>
      <c r="N35" s="691"/>
      <c r="O35" s="691"/>
      <c r="P35" s="691"/>
    </row>
    <row r="36" spans="2:16" x14ac:dyDescent="0.25">
      <c r="B36" s="1654"/>
      <c r="C36" s="1521"/>
      <c r="D36" s="1377" t="str">
        <f>IFERROR(INDEX(Valores!E:E,MATCH(B36,Valores!C:C,0),1),"")</f>
        <v/>
      </c>
      <c r="E36" s="1378">
        <f>SUMIF(Valores!C:C,B36,Valores!F:F)</f>
        <v>0</v>
      </c>
      <c r="F36" s="1366" t="str">
        <f>IFERROR(INDEX(Valores!G:G,MATCH(B36,Valores!C:C,0),1),"")</f>
        <v/>
      </c>
      <c r="G36" s="836">
        <f t="shared" si="0"/>
        <v>0</v>
      </c>
      <c r="H36" s="837">
        <f t="shared" si="1"/>
        <v>0</v>
      </c>
      <c r="I36" s="691"/>
      <c r="J36" s="691"/>
      <c r="K36" s="691"/>
      <c r="L36" s="691"/>
      <c r="M36" s="691"/>
      <c r="N36" s="691"/>
      <c r="O36" s="691"/>
      <c r="P36" s="691"/>
    </row>
    <row r="37" spans="2:16" x14ac:dyDescent="0.25">
      <c r="B37" s="1654"/>
      <c r="C37" s="1521"/>
      <c r="D37" s="1377" t="str">
        <f>IFERROR(INDEX(Valores!E:E,MATCH(B37,Valores!C:C,0),1),"")</f>
        <v/>
      </c>
      <c r="E37" s="1378">
        <f>SUMIF(Valores!C:C,B37,Valores!F:F)</f>
        <v>0</v>
      </c>
      <c r="F37" s="1366" t="str">
        <f>IFERROR(INDEX(Valores!G:G,MATCH(B37,Valores!C:C,0),1),"")</f>
        <v/>
      </c>
      <c r="G37" s="836">
        <f t="shared" si="0"/>
        <v>0</v>
      </c>
      <c r="H37" s="837">
        <f t="shared" si="1"/>
        <v>0</v>
      </c>
      <c r="I37" s="691"/>
      <c r="J37" s="691"/>
      <c r="K37" s="691"/>
      <c r="L37" s="691"/>
      <c r="M37" s="691"/>
      <c r="N37" s="691"/>
      <c r="O37" s="691"/>
      <c r="P37" s="691"/>
    </row>
    <row r="38" spans="2:16" x14ac:dyDescent="0.25">
      <c r="B38" s="1654"/>
      <c r="C38" s="1521"/>
      <c r="D38" s="1377" t="str">
        <f>IFERROR(INDEX(Valores!E:E,MATCH(B38,Valores!C:C,0),1),"")</f>
        <v/>
      </c>
      <c r="E38" s="1378">
        <f>SUMIF(Valores!C:C,B38,Valores!F:F)</f>
        <v>0</v>
      </c>
      <c r="F38" s="1366" t="str">
        <f>IFERROR(INDEX(Valores!G:G,MATCH(B38,Valores!C:C,0),1),"")</f>
        <v/>
      </c>
      <c r="G38" s="836">
        <f t="shared" si="0"/>
        <v>0</v>
      </c>
      <c r="H38" s="837">
        <f t="shared" si="1"/>
        <v>0</v>
      </c>
      <c r="I38" s="691"/>
      <c r="J38" s="691"/>
      <c r="K38" s="691"/>
      <c r="L38" s="691"/>
      <c r="M38" s="691"/>
      <c r="N38" s="691"/>
      <c r="O38" s="691"/>
      <c r="P38" s="691"/>
    </row>
    <row r="39" spans="2:16" x14ac:dyDescent="0.25">
      <c r="B39" s="1654"/>
      <c r="C39" s="1521"/>
      <c r="D39" s="1377" t="str">
        <f>IFERROR(INDEX(Valores!E:E,MATCH(B39,Valores!C:C,0),1),"")</f>
        <v/>
      </c>
      <c r="E39" s="1378">
        <f>SUMIF(Valores!C:C,B39,Valores!F:F)</f>
        <v>0</v>
      </c>
      <c r="F39" s="1366" t="str">
        <f>IFERROR(INDEX(Valores!G:G,MATCH(B39,Valores!C:C,0),1),"")</f>
        <v/>
      </c>
      <c r="G39" s="836">
        <f t="shared" si="0"/>
        <v>0</v>
      </c>
      <c r="H39" s="837">
        <f t="shared" si="1"/>
        <v>0</v>
      </c>
      <c r="I39" s="691"/>
      <c r="J39" s="691"/>
      <c r="K39" s="691"/>
      <c r="L39" s="691"/>
      <c r="M39" s="691"/>
      <c r="N39" s="691"/>
      <c r="O39" s="691"/>
      <c r="P39" s="691"/>
    </row>
    <row r="40" spans="2:16" ht="14.4" customHeight="1" thickBot="1" x14ac:dyDescent="0.3">
      <c r="B40" s="172" t="s">
        <v>94</v>
      </c>
      <c r="C40" s="839"/>
      <c r="D40" s="67"/>
      <c r="E40" s="69">
        <f>+G40/$G$6</f>
        <v>165.34</v>
      </c>
      <c r="F40" s="696" t="s">
        <v>95</v>
      </c>
      <c r="G40" s="840">
        <f>SUM(G15:G39)</f>
        <v>248010</v>
      </c>
      <c r="H40" s="841">
        <f>SUM(H15:H39)</f>
        <v>2.9176377028294063</v>
      </c>
      <c r="I40" s="691"/>
      <c r="J40" s="691"/>
      <c r="K40" s="691"/>
      <c r="L40" s="691"/>
      <c r="M40" s="691"/>
      <c r="N40" s="691"/>
      <c r="O40" s="691"/>
      <c r="P40" s="691"/>
    </row>
    <row r="41" spans="2:16" x14ac:dyDescent="0.25">
      <c r="B41" s="635"/>
      <c r="C41" s="776"/>
      <c r="D41" s="697"/>
      <c r="E41" s="16"/>
      <c r="F41" s="681"/>
      <c r="G41" s="834"/>
      <c r="H41" s="835"/>
      <c r="I41" s="691"/>
      <c r="J41" s="691"/>
      <c r="K41" s="691"/>
      <c r="L41" s="691"/>
      <c r="M41" s="691"/>
      <c r="N41" s="691"/>
      <c r="O41" s="691"/>
      <c r="P41" s="691"/>
    </row>
    <row r="42" spans="2:16" x14ac:dyDescent="0.25">
      <c r="B42" s="1654"/>
      <c r="C42" s="1521"/>
      <c r="D42" s="1377" t="str">
        <f>IFERROR(INDEX(Valores!E:E,MATCH(B42,Valores!C:C,0),1),"")</f>
        <v/>
      </c>
      <c r="E42" s="1378">
        <f>SUMIF(Valores!C:C,B42,Valores!F:F)</f>
        <v>0</v>
      </c>
      <c r="F42" s="1366" t="str">
        <f>IFERROR(INDEX(Valores!G:G,MATCH(B42,Valores!C:C,0),1),"")</f>
        <v/>
      </c>
      <c r="G42" s="811">
        <f t="shared" ref="G42:G45" si="4">+E42*C42*$G$6/1000</f>
        <v>0</v>
      </c>
      <c r="H42" s="798">
        <f t="shared" ref="H42:H45" si="5">G42/$D$10</f>
        <v>0</v>
      </c>
      <c r="I42" s="691"/>
      <c r="J42" s="691"/>
      <c r="K42" s="691"/>
      <c r="L42" s="691"/>
      <c r="M42" s="691"/>
      <c r="N42" s="691"/>
      <c r="O42" s="691"/>
      <c r="P42" s="691"/>
    </row>
    <row r="43" spans="2:16" x14ac:dyDescent="0.25">
      <c r="B43" s="1654"/>
      <c r="C43" s="1521"/>
      <c r="D43" s="1377" t="str">
        <f>IFERROR(INDEX(Valores!E:E,MATCH(B43,Valores!C:C,0),1),"")</f>
        <v/>
      </c>
      <c r="E43" s="1378">
        <f>SUMIF(Valores!C:C,B43,Valores!F:F)</f>
        <v>0</v>
      </c>
      <c r="F43" s="1366" t="str">
        <f>IFERROR(INDEX(Valores!G:G,MATCH(B43,Valores!C:C,0),1),"")</f>
        <v/>
      </c>
      <c r="G43" s="811">
        <f t="shared" si="4"/>
        <v>0</v>
      </c>
      <c r="H43" s="798">
        <f t="shared" si="5"/>
        <v>0</v>
      </c>
      <c r="I43" s="691"/>
      <c r="J43" s="691"/>
      <c r="K43" s="691"/>
      <c r="L43" s="691"/>
      <c r="M43" s="691"/>
      <c r="N43" s="691"/>
      <c r="O43" s="691"/>
      <c r="P43" s="691"/>
    </row>
    <row r="44" spans="2:16" x14ac:dyDescent="0.25">
      <c r="B44" s="1654"/>
      <c r="C44" s="1521"/>
      <c r="D44" s="1377" t="str">
        <f>IFERROR(INDEX(Valores!E:E,MATCH(B44,Valores!C:C,0),1),"")</f>
        <v/>
      </c>
      <c r="E44" s="1378">
        <f>SUMIF(Valores!C:C,B44,Valores!F:F)</f>
        <v>0</v>
      </c>
      <c r="F44" s="1366" t="str">
        <f>IFERROR(INDEX(Valores!G:G,MATCH(B44,Valores!C:C,0),1),"")</f>
        <v/>
      </c>
      <c r="G44" s="811">
        <f t="shared" si="4"/>
        <v>0</v>
      </c>
      <c r="H44" s="798">
        <f t="shared" si="5"/>
        <v>0</v>
      </c>
      <c r="I44" s="691"/>
      <c r="J44" s="691"/>
      <c r="K44" s="691"/>
      <c r="L44" s="691"/>
      <c r="M44" s="691"/>
      <c r="N44" s="691"/>
      <c r="O44" s="691"/>
      <c r="P44" s="691"/>
    </row>
    <row r="45" spans="2:16" x14ac:dyDescent="0.25">
      <c r="B45" s="1654"/>
      <c r="C45" s="1521"/>
      <c r="D45" s="1377" t="str">
        <f>IFERROR(INDEX(Valores!E:E,MATCH(B45,Valores!C:C,0),1),"")</f>
        <v/>
      </c>
      <c r="E45" s="1378">
        <f>SUMIF(Valores!C:C,B45,Valores!F:F)</f>
        <v>0</v>
      </c>
      <c r="F45" s="1366" t="str">
        <f>IFERROR(INDEX(Valores!G:G,MATCH(B45,Valores!C:C,0),1),"")</f>
        <v/>
      </c>
      <c r="G45" s="811">
        <f t="shared" si="4"/>
        <v>0</v>
      </c>
      <c r="H45" s="798">
        <f t="shared" si="5"/>
        <v>0</v>
      </c>
      <c r="I45" s="1200" t="s">
        <v>1073</v>
      </c>
      <c r="J45" s="1200"/>
      <c r="K45" s="1201"/>
      <c r="L45" s="1201"/>
      <c r="M45" s="1201"/>
      <c r="N45" s="1201"/>
      <c r="O45" s="1201"/>
      <c r="P45" s="1201"/>
    </row>
    <row r="46" spans="2:16" ht="14.4" customHeight="1" thickBot="1" x14ac:dyDescent="0.3">
      <c r="B46" s="65" t="s">
        <v>100</v>
      </c>
      <c r="C46" s="839"/>
      <c r="D46" s="67"/>
      <c r="E46" s="69">
        <f>+G46/$G$6</f>
        <v>0</v>
      </c>
      <c r="F46" s="682" t="s">
        <v>95</v>
      </c>
      <c r="G46" s="840">
        <f>SUM(G42:G45)</f>
        <v>0</v>
      </c>
      <c r="H46" s="841">
        <f>SUM(H42:H45)</f>
        <v>0</v>
      </c>
      <c r="I46" s="691"/>
      <c r="J46" s="691"/>
      <c r="K46" s="691"/>
      <c r="L46" s="691"/>
      <c r="M46" s="691"/>
      <c r="N46" s="691"/>
      <c r="O46" s="691"/>
      <c r="P46" s="691"/>
    </row>
    <row r="47" spans="2:16" ht="13.8" thickBot="1" x14ac:dyDescent="0.3">
      <c r="B47" s="1424"/>
      <c r="C47" s="1391"/>
      <c r="D47" s="1425"/>
      <c r="E47" s="1393"/>
      <c r="F47" s="1394"/>
      <c r="G47" s="1388"/>
      <c r="H47" s="1389"/>
      <c r="I47" s="691"/>
      <c r="J47" s="691"/>
      <c r="K47" s="691"/>
      <c r="L47" s="691"/>
      <c r="M47" s="691"/>
      <c r="N47" s="691"/>
      <c r="O47" s="691"/>
      <c r="P47" s="691"/>
    </row>
    <row r="48" spans="2:16" ht="14.4" customHeight="1" thickBot="1" x14ac:dyDescent="0.3">
      <c r="B48" s="1653" t="s">
        <v>40</v>
      </c>
      <c r="C48" s="1520">
        <v>1.5</v>
      </c>
      <c r="D48" s="1564" t="str">
        <f>IFERROR(INDEX(Valores!E:E,MATCH(B48,Valores!C:C,0),1),"")</f>
        <v>bls./Ha.</v>
      </c>
      <c r="E48" s="1565">
        <f>SUMIF(Valores!C:C,B48,Valores!F:F)</f>
        <v>150</v>
      </c>
      <c r="F48" s="1566" t="str">
        <f>IFERROR(INDEX(Valores!G:G,MATCH(B48,Valores!C:C,0),1),"")</f>
        <v>U$S/bls.</v>
      </c>
      <c r="G48" s="1614">
        <f>+E48*C48*$G$6</f>
        <v>337500</v>
      </c>
      <c r="H48" s="1615">
        <f>G48/$D$10</f>
        <v>3.9704154054470573</v>
      </c>
      <c r="I48" s="691"/>
      <c r="J48" s="691"/>
      <c r="K48" s="691"/>
      <c r="L48" s="691"/>
      <c r="M48" s="691"/>
      <c r="N48" s="691"/>
      <c r="O48" s="691"/>
      <c r="P48" s="691"/>
    </row>
    <row r="49" spans="2:16" ht="14.4" customHeight="1" x14ac:dyDescent="0.25">
      <c r="B49" s="1654"/>
      <c r="C49" s="1521"/>
      <c r="D49" s="1564" t="str">
        <f>IFERROR(INDEX(Valores!E:E,MATCH(B49,Valores!C:C,0),1),"")</f>
        <v/>
      </c>
      <c r="E49" s="1565">
        <f>SUMIF(Valores!C:C,B49,Valores!F:F)</f>
        <v>0</v>
      </c>
      <c r="F49" s="1566" t="str">
        <f>IFERROR(INDEX(Valores!G:G,MATCH(B49,Valores!C:C,0),1),"")</f>
        <v/>
      </c>
      <c r="G49" s="1614">
        <f>+E49*C49*$G$6</f>
        <v>0</v>
      </c>
      <c r="H49" s="1615">
        <f>G49/$D$10</f>
        <v>0</v>
      </c>
      <c r="I49" s="691"/>
      <c r="J49" s="691"/>
      <c r="K49" s="691"/>
      <c r="L49" s="691"/>
      <c r="M49" s="691"/>
      <c r="N49" s="691"/>
      <c r="O49" s="691"/>
      <c r="P49" s="691"/>
    </row>
    <row r="50" spans="2:16" ht="14.4" thickBot="1" x14ac:dyDescent="0.3">
      <c r="B50" s="65" t="s">
        <v>1212</v>
      </c>
      <c r="C50" s="1193"/>
      <c r="D50" s="701"/>
      <c r="E50" s="1609">
        <f>+G50/$G$6</f>
        <v>225</v>
      </c>
      <c r="F50" s="1616" t="s">
        <v>95</v>
      </c>
      <c r="G50" s="1617">
        <f>SUM(G48:G49)</f>
        <v>337500</v>
      </c>
      <c r="H50" s="1617">
        <f>SUM(H48:H49)</f>
        <v>3.9704154054470573</v>
      </c>
      <c r="I50" s="691"/>
      <c r="J50" s="691"/>
      <c r="K50" s="691"/>
      <c r="L50" s="691"/>
      <c r="M50" s="691"/>
      <c r="N50" s="691"/>
      <c r="O50" s="691"/>
      <c r="P50" s="691"/>
    </row>
    <row r="51" spans="2:16" x14ac:dyDescent="0.25">
      <c r="B51" s="1655" t="s">
        <v>50</v>
      </c>
      <c r="C51" s="1533">
        <v>1</v>
      </c>
      <c r="D51" s="1612" t="str">
        <f>IFERROR(INDEX(Valores!E:E,MATCH(B51,Valores!C:C,0),1),"")</f>
        <v>Labor</v>
      </c>
      <c r="E51" s="1613">
        <f>SUMIF(Valores!C:C,B51,Valores!F:F)</f>
        <v>40</v>
      </c>
      <c r="F51" s="1403" t="str">
        <f>IFERROR(INDEX(Valores!G:G,MATCH(B51,Valores!C:C,0),1),"")</f>
        <v>U$S/Ha.</v>
      </c>
      <c r="G51" s="834">
        <f t="shared" ref="G51:G56" si="6">+E51*C51*$G$6</f>
        <v>60000</v>
      </c>
      <c r="H51" s="835">
        <f t="shared" ref="H51:H56" si="7">G51/$D$10</f>
        <v>0.7058516276350324</v>
      </c>
      <c r="I51" s="691"/>
      <c r="J51" s="691"/>
      <c r="K51" s="691"/>
      <c r="L51" s="691"/>
      <c r="M51" s="691"/>
      <c r="N51" s="691"/>
      <c r="O51" s="691"/>
      <c r="P51" s="691"/>
    </row>
    <row r="52" spans="2:16" x14ac:dyDescent="0.25">
      <c r="B52" s="1654" t="s">
        <v>52</v>
      </c>
      <c r="C52" s="1521">
        <v>1</v>
      </c>
      <c r="D52" s="1426" t="str">
        <f>IFERROR(INDEX(Valores!E:E,MATCH(B52,Valores!C:C,0),1),"")</f>
        <v>Labor</v>
      </c>
      <c r="E52" s="1423">
        <f>SUMIF(Valores!C:C,B52,Valores!F:F)</f>
        <v>35</v>
      </c>
      <c r="F52" s="1366" t="str">
        <f>IFERROR(INDEX(Valores!G:G,MATCH(B52,Valores!C:C,0),1),"")</f>
        <v>U$S/Ha.</v>
      </c>
      <c r="G52" s="836">
        <f t="shared" si="6"/>
        <v>52500</v>
      </c>
      <c r="H52" s="837">
        <f t="shared" si="7"/>
        <v>0.61762017418065329</v>
      </c>
      <c r="I52" s="691"/>
      <c r="J52" s="691"/>
      <c r="K52" s="691"/>
      <c r="L52" s="691"/>
      <c r="M52" s="691"/>
      <c r="N52" s="691"/>
      <c r="O52" s="691"/>
      <c r="P52" s="691"/>
    </row>
    <row r="53" spans="2:16" outlineLevel="1" x14ac:dyDescent="0.25">
      <c r="B53" s="1654" t="s">
        <v>58</v>
      </c>
      <c r="C53" s="1521">
        <v>1</v>
      </c>
      <c r="D53" s="1426" t="str">
        <f>IFERROR(INDEX(Valores!E:E,MATCH(B53,Valores!C:C,0),1),"")</f>
        <v>Siembra</v>
      </c>
      <c r="E53" s="1423">
        <f>SUMIF(Valores!C:C,B53,Valores!F:F)</f>
        <v>55</v>
      </c>
      <c r="F53" s="1366" t="str">
        <f>IFERROR(INDEX(Valores!G:G,MATCH(B53,Valores!C:C,0),1),"")</f>
        <v>U$S/Ha.</v>
      </c>
      <c r="G53" s="836">
        <f t="shared" si="6"/>
        <v>82500</v>
      </c>
      <c r="H53" s="837">
        <f t="shared" si="7"/>
        <v>0.97054598799816949</v>
      </c>
      <c r="I53" s="691"/>
      <c r="J53" s="691"/>
      <c r="K53" s="691"/>
      <c r="L53" s="691"/>
      <c r="M53" s="691"/>
      <c r="N53" s="691"/>
      <c r="O53" s="691"/>
      <c r="P53" s="691"/>
    </row>
    <row r="54" spans="2:16" outlineLevel="1" x14ac:dyDescent="0.25">
      <c r="B54" s="1654" t="s">
        <v>48</v>
      </c>
      <c r="C54" s="1521">
        <v>8</v>
      </c>
      <c r="D54" s="1426" t="str">
        <f>IFERROR(INDEX(Valores!E:E,MATCH(B54,Valores!C:C,0),1),"")</f>
        <v>Aplicaciones</v>
      </c>
      <c r="E54" s="1423">
        <f>SUMIF(Valores!C:C,B54,Valores!F:F)</f>
        <v>8</v>
      </c>
      <c r="F54" s="1366" t="str">
        <f>IFERROR(INDEX(Valores!G:G,MATCH(B54,Valores!C:C,0),1),"")</f>
        <v>U$S/Ha.</v>
      </c>
      <c r="G54" s="836">
        <f>+E54*C54*$G$6</f>
        <v>96000</v>
      </c>
      <c r="H54" s="837">
        <f t="shared" si="7"/>
        <v>1.1293626042160518</v>
      </c>
      <c r="I54" s="691"/>
      <c r="J54" s="691"/>
      <c r="K54" s="691"/>
      <c r="L54" s="691"/>
      <c r="M54" s="691"/>
      <c r="N54" s="691"/>
      <c r="O54" s="691"/>
      <c r="P54" s="691"/>
    </row>
    <row r="55" spans="2:16" outlineLevel="1" x14ac:dyDescent="0.25">
      <c r="B55" s="1654" t="s">
        <v>1074</v>
      </c>
      <c r="C55" s="1521">
        <v>1</v>
      </c>
      <c r="D55" s="1426" t="str">
        <f>IFERROR(INDEX(Valores!E:E,MATCH(B55,Valores!C:C,0),1),"")</f>
        <v>Labor</v>
      </c>
      <c r="E55" s="1423">
        <f>SUMIF(Valores!C:C,B55,Valores!F:F)</f>
        <v>50</v>
      </c>
      <c r="F55" s="1366" t="str">
        <f>IFERROR(INDEX(Valores!G:G,MATCH(B55,Valores!C:C,0),1),"")</f>
        <v>U$S/Ha.</v>
      </c>
      <c r="G55" s="836">
        <f t="shared" si="6"/>
        <v>75000</v>
      </c>
      <c r="H55" s="837">
        <f t="shared" si="7"/>
        <v>0.8823145345437905</v>
      </c>
      <c r="I55" s="691"/>
      <c r="J55" s="691"/>
      <c r="K55" s="691"/>
      <c r="L55" s="691"/>
      <c r="M55" s="691"/>
      <c r="N55" s="691"/>
      <c r="O55" s="691"/>
      <c r="P55" s="691"/>
    </row>
    <row r="56" spans="2:16" outlineLevel="1" x14ac:dyDescent="0.25">
      <c r="B56" s="1654"/>
      <c r="C56" s="1521"/>
      <c r="D56" s="1426" t="str">
        <f>IFERROR(INDEX(Valores!E:E,MATCH(B56,Valores!C:C,0),1),"")</f>
        <v/>
      </c>
      <c r="E56" s="1423">
        <f>SUMIF(Valores!C:C,B56,Valores!F:F)</f>
        <v>0</v>
      </c>
      <c r="F56" s="1366" t="str">
        <f>IFERROR(INDEX(Valores!G:G,MATCH(B56,Valores!C:C,0),1),"")</f>
        <v/>
      </c>
      <c r="G56" s="836">
        <f t="shared" si="6"/>
        <v>0</v>
      </c>
      <c r="H56" s="837">
        <f t="shared" si="7"/>
        <v>0</v>
      </c>
      <c r="I56" s="691"/>
      <c r="J56" s="691"/>
      <c r="K56" s="691"/>
      <c r="L56" s="691"/>
      <c r="M56" s="691"/>
      <c r="N56" s="691"/>
      <c r="O56" s="691"/>
      <c r="P56" s="691"/>
    </row>
    <row r="57" spans="2:16" outlineLevel="1" x14ac:dyDescent="0.25">
      <c r="B57" s="1654"/>
      <c r="C57" s="1521"/>
      <c r="D57" s="1426" t="str">
        <f>IFERROR(INDEX(Valores!E:E,MATCH(B57,Valores!C:C,0),1),"")</f>
        <v/>
      </c>
      <c r="E57" s="1423">
        <f>SUMIF(Valores!C:C,B57,Valores!F:F)</f>
        <v>0</v>
      </c>
      <c r="F57" s="1366" t="str">
        <f>IFERROR(INDEX(Valores!G:G,MATCH(B57,Valores!C:C,0),1),"")</f>
        <v/>
      </c>
      <c r="G57" s="836"/>
      <c r="H57" s="837"/>
      <c r="I57" s="691"/>
      <c r="J57" s="691"/>
      <c r="K57" s="691"/>
      <c r="L57" s="691"/>
      <c r="M57" s="691"/>
      <c r="N57" s="691"/>
      <c r="O57" s="691"/>
      <c r="P57" s="691"/>
    </row>
    <row r="58" spans="2:16" ht="14.4" customHeight="1" thickBot="1" x14ac:dyDescent="0.3">
      <c r="B58" s="65" t="s">
        <v>105</v>
      </c>
      <c r="C58" s="701"/>
      <c r="D58" s="702"/>
      <c r="E58" s="69">
        <f>+G58/$G$6</f>
        <v>244</v>
      </c>
      <c r="F58" s="682" t="s">
        <v>95</v>
      </c>
      <c r="G58" s="840">
        <f>SUM(G51:G57)</f>
        <v>366000</v>
      </c>
      <c r="H58" s="841">
        <f>SUM(H51:H57)</f>
        <v>4.3056949285736978</v>
      </c>
      <c r="I58" s="691"/>
      <c r="J58" s="691"/>
      <c r="K58" s="691"/>
      <c r="L58" s="691"/>
      <c r="M58" s="691"/>
      <c r="N58" s="691"/>
      <c r="O58" s="691"/>
      <c r="P58" s="691"/>
    </row>
    <row r="59" spans="2:16" x14ac:dyDescent="0.25">
      <c r="B59" s="635"/>
      <c r="C59" s="21"/>
      <c r="D59" s="17"/>
      <c r="E59" s="16"/>
      <c r="F59" s="681"/>
      <c r="G59" s="834"/>
      <c r="H59" s="835"/>
      <c r="I59" s="691"/>
      <c r="J59" s="691"/>
      <c r="K59" s="691"/>
      <c r="L59" s="691"/>
      <c r="M59" s="691"/>
      <c r="N59" s="691"/>
      <c r="O59" s="691"/>
      <c r="P59" s="691"/>
    </row>
    <row r="60" spans="2:16" ht="13.95" customHeight="1" x14ac:dyDescent="0.25">
      <c r="B60" s="303"/>
      <c r="C60" s="653"/>
      <c r="D60" s="55"/>
      <c r="E60" s="93"/>
      <c r="F60" s="674"/>
      <c r="G60" s="842"/>
      <c r="H60" s="843"/>
      <c r="I60" s="691"/>
      <c r="J60" s="691"/>
      <c r="K60" s="691"/>
      <c r="L60" s="691"/>
      <c r="M60" s="691"/>
      <c r="N60" s="691"/>
      <c r="O60" s="691"/>
      <c r="P60" s="691"/>
    </row>
    <row r="61" spans="2:16" ht="13.95" customHeight="1" thickBot="1" x14ac:dyDescent="0.3">
      <c r="B61" s="636"/>
      <c r="C61" s="844"/>
      <c r="D61" s="305"/>
      <c r="E61" s="306"/>
      <c r="F61" s="683"/>
      <c r="G61" s="845"/>
      <c r="H61" s="846"/>
      <c r="I61" s="691"/>
      <c r="J61" s="691"/>
      <c r="K61" s="691"/>
      <c r="L61" s="691"/>
      <c r="M61" s="691"/>
      <c r="N61" s="691"/>
      <c r="O61" s="691"/>
      <c r="P61" s="691"/>
    </row>
    <row r="62" spans="2:16" ht="13.95" customHeight="1" outlineLevel="1" x14ac:dyDescent="0.25">
      <c r="B62" s="698"/>
      <c r="C62" s="308"/>
      <c r="D62" s="17"/>
      <c r="E62" s="309"/>
      <c r="F62" s="681"/>
      <c r="G62" s="842"/>
      <c r="H62" s="843"/>
      <c r="I62" s="691"/>
      <c r="J62" s="691"/>
      <c r="K62" s="691"/>
      <c r="L62" s="691"/>
      <c r="M62" s="691"/>
      <c r="N62" s="691"/>
      <c r="O62" s="691"/>
      <c r="P62" s="691"/>
    </row>
    <row r="63" spans="2:16" ht="13.95" customHeight="1" outlineLevel="1" x14ac:dyDescent="0.25">
      <c r="B63" s="310"/>
      <c r="C63" s="1667">
        <v>25</v>
      </c>
      <c r="D63" s="55" t="s">
        <v>107</v>
      </c>
      <c r="E63" s="93">
        <v>0</v>
      </c>
      <c r="F63" s="674" t="s">
        <v>72</v>
      </c>
      <c r="G63" s="842">
        <f>C63*(E63)*$D$10</f>
        <v>0</v>
      </c>
      <c r="H63" s="843">
        <f>G63/$D$10</f>
        <v>0</v>
      </c>
      <c r="I63" s="691"/>
      <c r="J63" s="691"/>
      <c r="K63" s="691"/>
      <c r="L63" s="691"/>
      <c r="M63" s="691"/>
      <c r="N63" s="691"/>
      <c r="O63" s="691"/>
      <c r="P63" s="691"/>
    </row>
    <row r="64" spans="2:16" ht="14.4" customHeight="1" outlineLevel="1" thickBot="1" x14ac:dyDescent="0.3">
      <c r="B64" s="698"/>
      <c r="C64" s="265"/>
      <c r="D64" s="55"/>
      <c r="E64" s="93"/>
      <c r="F64" s="674"/>
      <c r="G64" s="842"/>
      <c r="H64" s="843"/>
      <c r="I64" s="691"/>
      <c r="J64" s="691"/>
      <c r="K64" s="691"/>
      <c r="L64" s="691"/>
      <c r="M64" s="691"/>
      <c r="N64" s="691"/>
      <c r="O64" s="691"/>
      <c r="P64" s="691"/>
    </row>
    <row r="65" spans="1:16" ht="16.2" customHeight="1" thickBot="1" x14ac:dyDescent="0.35">
      <c r="A65" s="117"/>
      <c r="B65" s="1534" t="s">
        <v>108</v>
      </c>
      <c r="C65" s="1535"/>
      <c r="D65" s="1535"/>
      <c r="E65" s="1536">
        <f>+G65/$G$6</f>
        <v>634.34</v>
      </c>
      <c r="F65" s="1537"/>
      <c r="G65" s="1538">
        <f>+G48+G46+G40+G58</f>
        <v>951510</v>
      </c>
      <c r="H65" s="1539">
        <f>+H48+H46+H40+H58</f>
        <v>11.193748036850161</v>
      </c>
      <c r="I65" s="691"/>
      <c r="J65" s="691"/>
      <c r="K65" s="691"/>
      <c r="L65" s="691"/>
      <c r="M65" s="691"/>
      <c r="N65" s="691"/>
      <c r="O65" s="691"/>
      <c r="P65" s="691"/>
    </row>
    <row r="66" spans="1:16" x14ac:dyDescent="0.25">
      <c r="G66" s="793"/>
      <c r="I66" s="450"/>
      <c r="J66" s="691"/>
      <c r="K66" s="691"/>
      <c r="L66" s="691"/>
      <c r="M66" s="691"/>
      <c r="N66" s="691"/>
      <c r="O66" s="691"/>
      <c r="P66" s="691"/>
    </row>
    <row r="67" spans="1:16" ht="13.95" customHeight="1" thickBot="1" x14ac:dyDescent="0.3">
      <c r="G67" s="793"/>
      <c r="I67" s="450"/>
      <c r="J67" s="691"/>
      <c r="K67" s="691"/>
      <c r="L67" s="691"/>
      <c r="M67" s="691"/>
      <c r="N67" s="691"/>
      <c r="O67" s="691"/>
      <c r="P67" s="691"/>
    </row>
    <row r="68" spans="1:16" ht="16.2" customHeight="1" thickBot="1" x14ac:dyDescent="0.35">
      <c r="B68" s="1716" t="s">
        <v>109</v>
      </c>
      <c r="C68" s="1686"/>
      <c r="D68" s="1687"/>
      <c r="I68" s="691"/>
      <c r="J68" s="691"/>
      <c r="K68" s="691"/>
      <c r="L68" s="691"/>
      <c r="M68" s="691"/>
      <c r="N68" s="691"/>
      <c r="O68" s="691"/>
      <c r="P68" s="691"/>
    </row>
    <row r="69" spans="1:16" ht="18" customHeight="1" thickTop="1" thickBot="1" x14ac:dyDescent="0.3">
      <c r="B69" s="808">
        <f>+H69*$D$10*C69/100</f>
        <v>238010.36</v>
      </c>
      <c r="C69" s="1531">
        <v>8</v>
      </c>
      <c r="D69" s="266" t="s">
        <v>72</v>
      </c>
      <c r="E69" s="249"/>
      <c r="F69" s="250"/>
      <c r="G69" s="251" t="s">
        <v>190</v>
      </c>
      <c r="H69" s="312">
        <f>+RESUMEN!N8</f>
        <v>35</v>
      </c>
      <c r="I69" s="848"/>
      <c r="J69" s="691"/>
      <c r="K69" s="691"/>
      <c r="L69" s="691"/>
      <c r="M69" s="691"/>
      <c r="N69" s="691"/>
      <c r="O69" s="691"/>
      <c r="P69" s="691"/>
    </row>
    <row r="70" spans="1:16" ht="15" customHeight="1" thickTop="1" thickBot="1" x14ac:dyDescent="0.3">
      <c r="B70" s="712"/>
      <c r="C70" s="712"/>
      <c r="D70" s="712"/>
      <c r="F70" s="313"/>
      <c r="G70" s="314" t="s">
        <v>201</v>
      </c>
      <c r="H70" s="315">
        <f>((G65+E77)/($D$10-C72-C73))/(100-C69)*100</f>
        <v>22.624068924031224</v>
      </c>
      <c r="I70" s="848"/>
      <c r="J70" s="691"/>
      <c r="K70" s="691"/>
      <c r="L70" s="691"/>
      <c r="M70" s="691"/>
      <c r="N70" s="691"/>
      <c r="O70" s="691"/>
      <c r="P70" s="691"/>
    </row>
    <row r="71" spans="1:16" ht="16.2" customHeight="1" thickBot="1" x14ac:dyDescent="0.35">
      <c r="B71" s="1716" t="s">
        <v>111</v>
      </c>
      <c r="C71" s="1686"/>
      <c r="D71" s="1687"/>
      <c r="H71" s="849"/>
      <c r="I71" s="850"/>
      <c r="J71" s="691"/>
      <c r="K71" s="691"/>
      <c r="L71" s="691"/>
      <c r="M71" s="691"/>
      <c r="N71" s="691"/>
      <c r="O71" s="691"/>
      <c r="P71" s="691"/>
    </row>
    <row r="72" spans="1:16" x14ac:dyDescent="0.25">
      <c r="B72" s="21" t="s">
        <v>113</v>
      </c>
      <c r="C72" s="1524">
        <v>70</v>
      </c>
      <c r="D72" s="266" t="s">
        <v>65</v>
      </c>
      <c r="E72" s="848">
        <f>+C72*H69</f>
        <v>2450</v>
      </c>
      <c r="H72" s="747"/>
      <c r="I72" s="691"/>
      <c r="J72" s="691"/>
      <c r="K72" s="691"/>
      <c r="L72" s="691"/>
      <c r="M72" s="691"/>
      <c r="N72" s="691"/>
      <c r="O72" s="691"/>
      <c r="P72" s="691"/>
    </row>
    <row r="73" spans="1:16" x14ac:dyDescent="0.25">
      <c r="B73" s="19" t="s">
        <v>115</v>
      </c>
      <c r="C73" s="1524">
        <v>15</v>
      </c>
      <c r="D73" s="266" t="s">
        <v>65</v>
      </c>
      <c r="E73" s="848">
        <f>+C73*H69</f>
        <v>525</v>
      </c>
      <c r="H73" s="753"/>
      <c r="I73" s="851"/>
      <c r="J73" s="691"/>
      <c r="K73" s="691"/>
      <c r="L73" s="691"/>
      <c r="M73" s="691"/>
      <c r="N73" s="691"/>
      <c r="O73" s="691"/>
      <c r="P73" s="691"/>
    </row>
    <row r="74" spans="1:16" ht="15" customHeight="1" x14ac:dyDescent="0.25">
      <c r="H74" s="752"/>
      <c r="I74" s="851"/>
      <c r="J74" s="691"/>
      <c r="K74" s="691"/>
      <c r="L74" s="691"/>
      <c r="M74" s="691"/>
      <c r="N74" s="691"/>
      <c r="O74" s="691"/>
      <c r="P74" s="691"/>
    </row>
    <row r="75" spans="1:16" ht="15" customHeight="1" thickBot="1" x14ac:dyDescent="0.3">
      <c r="G75" s="316"/>
      <c r="I75" s="691"/>
      <c r="J75" s="691"/>
      <c r="K75" s="691"/>
      <c r="L75" s="691"/>
      <c r="M75" s="691"/>
      <c r="N75" s="691"/>
      <c r="O75" s="691"/>
      <c r="P75" s="691"/>
    </row>
    <row r="76" spans="1:16" ht="16.2" customHeight="1" thickBot="1" x14ac:dyDescent="0.35">
      <c r="B76" s="1751" t="s">
        <v>143</v>
      </c>
      <c r="C76" s="1686"/>
      <c r="D76" s="1686"/>
      <c r="E76" s="1687"/>
      <c r="F76" s="712"/>
      <c r="G76" s="448" t="s">
        <v>145</v>
      </c>
      <c r="I76" s="691"/>
      <c r="J76" s="691"/>
      <c r="K76" s="691"/>
      <c r="L76" s="691"/>
      <c r="M76" s="691"/>
      <c r="N76" s="691"/>
      <c r="O76" s="691"/>
      <c r="P76" s="691"/>
    </row>
    <row r="77" spans="1:16" x14ac:dyDescent="0.25">
      <c r="B77" s="712"/>
      <c r="C77" s="852">
        <f>+RESUMEN!$D$10</f>
        <v>17</v>
      </c>
      <c r="D77" s="456" t="s">
        <v>144</v>
      </c>
      <c r="E77" s="853">
        <f>+C77*RESUMEN!$F$4</f>
        <v>816000</v>
      </c>
      <c r="F77" s="455" t="s">
        <v>117</v>
      </c>
      <c r="G77" s="854">
        <f>+E77/$D$10</f>
        <v>9.5995821358364406</v>
      </c>
      <c r="I77" s="691"/>
      <c r="J77" s="691"/>
      <c r="K77" s="691"/>
      <c r="L77" s="691"/>
      <c r="M77" s="691"/>
      <c r="N77" s="691"/>
      <c r="O77" s="691"/>
      <c r="P77" s="691"/>
    </row>
    <row r="78" spans="1:16" x14ac:dyDescent="0.25">
      <c r="B78" s="712"/>
      <c r="C78" s="712"/>
      <c r="D78" s="80" t="s">
        <v>118</v>
      </c>
      <c r="E78" s="763">
        <f>+E77/$G$6</f>
        <v>544</v>
      </c>
      <c r="H78" s="1"/>
      <c r="I78" s="691"/>
      <c r="J78" s="691"/>
      <c r="K78" s="691"/>
      <c r="L78" s="691"/>
      <c r="M78" s="691"/>
      <c r="N78" s="691"/>
      <c r="O78" s="691"/>
      <c r="P78" s="691"/>
    </row>
    <row r="79" spans="1:16" ht="16.2" customHeight="1" thickBot="1" x14ac:dyDescent="0.3">
      <c r="G79" s="31"/>
      <c r="I79" s="691"/>
      <c r="J79" s="691"/>
      <c r="K79" s="691"/>
      <c r="L79" s="691"/>
      <c r="M79" s="691"/>
      <c r="N79" s="691"/>
      <c r="O79" s="691"/>
      <c r="P79" s="691"/>
    </row>
    <row r="80" spans="1:16" ht="18.600000000000001" customHeight="1" thickTop="1" thickBot="1" x14ac:dyDescent="0.3">
      <c r="B80" s="1690" t="s">
        <v>172</v>
      </c>
      <c r="C80" s="1691"/>
      <c r="D80" s="253">
        <f>+E81/(E78+E65)</f>
        <v>0.54689033725410319</v>
      </c>
      <c r="E80" s="765">
        <f>+H69*$D$10*(100-C69)/100-G65-E77-(C72+C73)*H69</f>
        <v>966634.14000000013</v>
      </c>
      <c r="F80" s="32" t="s">
        <v>117</v>
      </c>
      <c r="G80" s="830">
        <f>+E80/$D$10</f>
        <v>11.371671350776497</v>
      </c>
      <c r="H80" s="33" t="s">
        <v>77</v>
      </c>
      <c r="I80" s="691"/>
      <c r="J80" s="691"/>
      <c r="K80" s="691"/>
      <c r="L80" s="691"/>
      <c r="M80" s="691"/>
      <c r="N80" s="691"/>
      <c r="O80" s="691"/>
      <c r="P80" s="691"/>
    </row>
    <row r="81" spans="4:16" ht="16.2" customHeight="1" thickTop="1" x14ac:dyDescent="0.25">
      <c r="D81" s="37" t="s">
        <v>118</v>
      </c>
      <c r="E81" s="746">
        <f>+E80/$G$6</f>
        <v>644.42276000000004</v>
      </c>
      <c r="H81" s="82"/>
      <c r="I81" s="691"/>
      <c r="J81" s="691"/>
      <c r="K81" s="691"/>
      <c r="L81" s="691"/>
      <c r="M81" s="691"/>
      <c r="N81" s="691"/>
      <c r="O81" s="691"/>
      <c r="P81" s="691"/>
    </row>
    <row r="82" spans="4:16" ht="15.6" customHeight="1" x14ac:dyDescent="0.25">
      <c r="G82" s="31"/>
      <c r="H82" s="31"/>
      <c r="I82" s="691"/>
      <c r="J82" s="691"/>
      <c r="K82" s="691"/>
      <c r="L82" s="691"/>
      <c r="M82" s="691"/>
      <c r="N82" s="691"/>
      <c r="O82" s="691"/>
      <c r="P82" s="691"/>
    </row>
    <row r="83" spans="4:16" ht="15.6" customHeight="1" x14ac:dyDescent="0.25">
      <c r="G83" s="31"/>
      <c r="H83" s="31"/>
      <c r="I83" s="691"/>
      <c r="J83" s="691"/>
      <c r="K83" s="691"/>
      <c r="L83" s="691"/>
      <c r="M83" s="691"/>
      <c r="N83" s="691"/>
      <c r="O83" s="691"/>
      <c r="P83" s="691"/>
    </row>
    <row r="84" spans="4:16" ht="15.6" customHeight="1" x14ac:dyDescent="0.25">
      <c r="G84" s="31"/>
      <c r="H84" s="31"/>
      <c r="I84" s="691"/>
      <c r="J84" s="691"/>
      <c r="K84" s="691"/>
      <c r="L84" s="691"/>
      <c r="M84" s="691"/>
      <c r="N84" s="691"/>
      <c r="O84" s="691"/>
      <c r="P84" s="691"/>
    </row>
    <row r="85" spans="4:16" x14ac:dyDescent="0.25">
      <c r="I85" s="691"/>
      <c r="J85" s="691"/>
      <c r="K85" s="691"/>
      <c r="L85" s="691"/>
      <c r="M85" s="691"/>
      <c r="N85" s="691"/>
      <c r="O85" s="691"/>
      <c r="P85" s="691"/>
    </row>
    <row r="86" spans="4:16" x14ac:dyDescent="0.25">
      <c r="I86" s="691"/>
      <c r="J86" s="691"/>
      <c r="K86" s="691"/>
      <c r="L86" s="691"/>
      <c r="M86" s="691"/>
      <c r="N86" s="691"/>
      <c r="O86" s="691"/>
      <c r="P86" s="691"/>
    </row>
    <row r="87" spans="4:16" x14ac:dyDescent="0.25">
      <c r="I87" s="691"/>
      <c r="J87" s="691"/>
      <c r="K87" s="691"/>
      <c r="L87" s="691"/>
      <c r="M87" s="691"/>
      <c r="N87" s="691"/>
      <c r="O87" s="691"/>
      <c r="P87" s="691"/>
    </row>
  </sheetData>
  <sheetProtection algorithmName="SHA-512" hashValue="Mxe/md3po5Nn2HIfm2ukSSZxkWNUC+zIYqD6KpUalSqADG2yCdGwArOQcRBtIcQSreXl9RPNcmNCZK2E7Mg4zw==" saltValue="Vq593v8NnhUbZ4odM7oEvw==" spinCount="100000" sheet="1" objects="1" scenarios="1"/>
  <mergeCells count="7">
    <mergeCell ref="B80:C80"/>
    <mergeCell ref="B1:H2"/>
    <mergeCell ref="B7:D7"/>
    <mergeCell ref="C14:D14"/>
    <mergeCell ref="B68:D68"/>
    <mergeCell ref="B71:D71"/>
    <mergeCell ref="B76:E76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errorTitle="Seleccionar artículo correcto" promptTitle="Seleccionar artículo" xr:uid="{E3EE8534-6B31-475F-858F-95F60D8FA2F0}">
          <x14:formula1>
            <xm:f>Valores!$C$6:$C$123</xm:f>
          </x14:formula1>
          <xm:sqref>B48:B49 B42:B45 B51:B57 B15:B39</xm:sqref>
        </x14:dataValidation>
      </x14:dataValidations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Hoja11"/>
  <dimension ref="B1:K29"/>
  <sheetViews>
    <sheetView showGridLines="0" zoomScale="98" zoomScaleNormal="98" workbookViewId="0">
      <selection activeCell="C13" sqref="C13"/>
    </sheetView>
  </sheetViews>
  <sheetFormatPr baseColWidth="10" defaultColWidth="15.109375" defaultRowHeight="17.25" customHeight="1" outlineLevelRow="1" x14ac:dyDescent="0.25"/>
  <cols>
    <col min="1" max="1" width="12" style="1252" customWidth="1"/>
    <col min="2" max="2" width="22.6640625" style="1252" customWidth="1"/>
    <col min="3" max="3" width="8.33203125" style="1252" customWidth="1"/>
    <col min="4" max="6" width="14" style="1252" customWidth="1"/>
    <col min="7" max="7" width="8.6640625" style="1252" customWidth="1"/>
    <col min="8" max="8" width="8.33203125" style="1252" customWidth="1"/>
    <col min="9" max="9" width="33.33203125" style="1252" bestFit="1" customWidth="1"/>
    <col min="10" max="10" width="6.33203125" style="1252" customWidth="1"/>
    <col min="11" max="11" width="15" style="1252" customWidth="1"/>
    <col min="12" max="12" width="16.5546875" style="1252" customWidth="1"/>
    <col min="13" max="15" width="15.109375" style="1252" customWidth="1"/>
    <col min="16" max="16384" width="15.109375" style="1252"/>
  </cols>
  <sheetData>
    <row r="1" spans="2:11" ht="17.25" customHeight="1" x14ac:dyDescent="0.25">
      <c r="B1" s="1305">
        <v>1</v>
      </c>
      <c r="C1" s="1304" t="s">
        <v>377</v>
      </c>
      <c r="D1" s="1249"/>
      <c r="E1" s="1250"/>
      <c r="F1" s="1251"/>
    </row>
    <row r="2" spans="2:11" ht="17.25" customHeight="1" x14ac:dyDescent="0.25">
      <c r="B2" s="1253"/>
      <c r="D2" s="1254" t="s">
        <v>335</v>
      </c>
      <c r="E2" s="1254" t="s">
        <v>278</v>
      </c>
      <c r="F2" s="1255" t="s">
        <v>378</v>
      </c>
    </row>
    <row r="3" spans="2:11" ht="17.25" customHeight="1" x14ac:dyDescent="0.25">
      <c r="B3" s="1256" t="s">
        <v>379</v>
      </c>
      <c r="C3" s="1257"/>
      <c r="D3" s="1258">
        <f>+RESUMEN!F8</f>
        <v>45</v>
      </c>
      <c r="E3" s="1258">
        <f>+RESUMEN!I8</f>
        <v>115</v>
      </c>
      <c r="F3" s="1259">
        <f>+RESUMEN!G8</f>
        <v>45</v>
      </c>
    </row>
    <row r="4" spans="2:11" ht="17.25" customHeight="1" x14ac:dyDescent="0.25">
      <c r="B4" s="1260" t="s">
        <v>380</v>
      </c>
      <c r="D4" s="1261">
        <f>+D3*$B$1</f>
        <v>45</v>
      </c>
      <c r="E4" s="1261">
        <f>+E3*$B$1</f>
        <v>115</v>
      </c>
      <c r="F4" s="1262">
        <f>+F3*$B$1+B1*(RESUMEN!G9)</f>
        <v>80</v>
      </c>
    </row>
    <row r="5" spans="2:11" ht="17.25" customHeight="1" x14ac:dyDescent="0.25">
      <c r="B5" s="1260" t="s">
        <v>381</v>
      </c>
      <c r="D5" s="1263">
        <f>+RESUMEN!F4</f>
        <v>48000</v>
      </c>
      <c r="E5" s="1263">
        <f>+RESUMEN!I4</f>
        <v>28500</v>
      </c>
      <c r="F5" s="1264">
        <f>+RESUMEN!G4</f>
        <v>31500</v>
      </c>
    </row>
    <row r="6" spans="2:11" ht="17.25" customHeight="1" x14ac:dyDescent="0.25">
      <c r="B6" s="1265" t="s">
        <v>382</v>
      </c>
      <c r="D6" s="1266">
        <f>+D4/10</f>
        <v>4.5</v>
      </c>
      <c r="E6" s="1266">
        <f>+E4/10</f>
        <v>11.5</v>
      </c>
      <c r="F6" s="1267">
        <f>+F4/10+B1*RESUMEN!G9/10</f>
        <v>11.5</v>
      </c>
    </row>
    <row r="7" spans="2:11" ht="12" customHeight="1" x14ac:dyDescent="0.25">
      <c r="B7" s="1260"/>
      <c r="F7" s="1268"/>
      <c r="K7" s="1269" t="s">
        <v>383</v>
      </c>
    </row>
    <row r="8" spans="2:11" ht="17.25" customHeight="1" x14ac:dyDescent="0.25">
      <c r="B8" s="1270" t="s">
        <v>1081</v>
      </c>
      <c r="C8" s="1271"/>
      <c r="D8" s="1306">
        <v>1.4999999999999999E-2</v>
      </c>
      <c r="E8" s="1306">
        <v>0.02</v>
      </c>
      <c r="F8" s="1307">
        <v>0.02</v>
      </c>
    </row>
    <row r="9" spans="2:11" ht="17.25" customHeight="1" x14ac:dyDescent="0.25">
      <c r="B9" s="1260" t="s">
        <v>384</v>
      </c>
      <c r="D9" s="1272">
        <f>+D4*D5*D8</f>
        <v>32400</v>
      </c>
      <c r="E9" s="1272">
        <f>+E4*E5*E8</f>
        <v>65550</v>
      </c>
      <c r="F9" s="1273">
        <f>+F4*F5*F8+RESUMEN!G9*B1*D5*D8</f>
        <v>75600</v>
      </c>
      <c r="K9" s="1274">
        <f>IFERROR(D9/AVERAGE(E9:F9)-1,0)</f>
        <v>-0.54091392136025507</v>
      </c>
    </row>
    <row r="10" spans="2:11" ht="17.25" customHeight="1" thickBot="1" x14ac:dyDescent="0.3">
      <c r="B10" s="1260" t="s">
        <v>1082</v>
      </c>
      <c r="C10" s="1275">
        <v>0</v>
      </c>
      <c r="D10" s="1276">
        <v>0</v>
      </c>
      <c r="E10" s="1276">
        <v>0</v>
      </c>
      <c r="F10" s="1277">
        <v>0</v>
      </c>
      <c r="K10" s="1274">
        <f>IFERROR(D10/AVERAGE(E10:F10)-1,0)</f>
        <v>0</v>
      </c>
    </row>
    <row r="11" spans="2:11" ht="17.25" customHeight="1" x14ac:dyDescent="0.25">
      <c r="B11" s="1260"/>
      <c r="D11" s="1278">
        <f>SUM(D9:D10)</f>
        <v>32400</v>
      </c>
      <c r="E11" s="1278">
        <f>SUM(E9:E10)</f>
        <v>65550</v>
      </c>
      <c r="F11" s="1279">
        <f>SUM(F9:F10)</f>
        <v>75600</v>
      </c>
      <c r="J11" s="1280"/>
      <c r="K11" s="1274">
        <f>IFERROR(D11/AVERAGE(E11:F11)-1,0)</f>
        <v>-0.54091392136025507</v>
      </c>
    </row>
    <row r="12" spans="2:11" ht="12" customHeight="1" x14ac:dyDescent="0.25">
      <c r="B12" s="1253"/>
      <c r="F12" s="1268"/>
      <c r="J12" s="1280"/>
      <c r="K12" s="1280"/>
    </row>
    <row r="13" spans="2:11" ht="17.25" customHeight="1" x14ac:dyDescent="0.25">
      <c r="B13" s="1260" t="s">
        <v>385</v>
      </c>
      <c r="C13" s="1281">
        <v>0.05</v>
      </c>
      <c r="D13" s="1272">
        <f>('Compra Productor'!E7+'Compra Productor'!E8+'Compra Productor'!E9)/(1+C13)*C13*B1</f>
        <v>21241.428571428572</v>
      </c>
      <c r="E13" s="1272">
        <f>('Compra Productor'!K7+'Compra Productor'!K8+'Compra Productor'!K9)/(1+C13)*C13*B1</f>
        <v>48511.071428571428</v>
      </c>
      <c r="F13" s="1273">
        <f>('Compra Productor'!G7+'Compra Productor'!G8+'Compra Productor'!G9)/(1+C13)*C13*B1</f>
        <v>44501.08571428572</v>
      </c>
      <c r="J13" s="1280"/>
      <c r="K13" s="1274">
        <f>IFERROR(D13/AVERAGE(E13:F13)-1,0)</f>
        <v>-0.54325479111716735</v>
      </c>
    </row>
    <row r="14" spans="2:11" ht="9" customHeight="1" x14ac:dyDescent="0.25">
      <c r="B14" s="1253"/>
      <c r="F14" s="1268"/>
      <c r="J14" s="1280"/>
      <c r="K14" s="1280"/>
    </row>
    <row r="15" spans="2:11" ht="13.95" customHeight="1" x14ac:dyDescent="0.25">
      <c r="B15" s="1260" t="s">
        <v>386</v>
      </c>
      <c r="C15" s="1281">
        <v>0.1</v>
      </c>
      <c r="D15" s="1272">
        <v>0</v>
      </c>
      <c r="E15" s="1272">
        <v>0</v>
      </c>
      <c r="F15" s="1273">
        <v>0</v>
      </c>
      <c r="J15" s="1280"/>
      <c r="K15" s="1280"/>
    </row>
    <row r="16" spans="2:11" ht="9" customHeight="1" x14ac:dyDescent="0.25">
      <c r="B16" s="1253"/>
      <c r="F16" s="1268"/>
      <c r="J16" s="1280"/>
      <c r="K16" s="1280"/>
    </row>
    <row r="17" spans="2:11" ht="17.25" customHeight="1" x14ac:dyDescent="0.25">
      <c r="B17" s="1253"/>
      <c r="C17" s="1282" t="s">
        <v>387</v>
      </c>
      <c r="D17" s="1283">
        <f>+D11+D13+D15</f>
        <v>53641.428571428572</v>
      </c>
      <c r="E17" s="1283">
        <f>+E11+E13+E15</f>
        <v>114061.07142857142</v>
      </c>
      <c r="F17" s="1284">
        <f>+F11+F13+F15</f>
        <v>120101.08571428573</v>
      </c>
      <c r="H17" s="1285"/>
      <c r="J17" s="1280"/>
      <c r="K17" s="1274">
        <f>IFERROR(D17/AVERAGE(E17:F17)-1,0)</f>
        <v>-0.54184374430149163</v>
      </c>
    </row>
    <row r="18" spans="2:11" ht="13.5" customHeight="1" thickBot="1" x14ac:dyDescent="0.3">
      <c r="B18" s="1286"/>
      <c r="C18" s="1287"/>
      <c r="D18" s="1287"/>
      <c r="E18" s="1287"/>
      <c r="F18" s="1288"/>
    </row>
    <row r="19" spans="2:11" ht="13.5" customHeight="1" x14ac:dyDescent="0.25"/>
    <row r="20" spans="2:11" ht="13.5" customHeight="1" x14ac:dyDescent="0.25">
      <c r="B20" s="1289" t="s">
        <v>388</v>
      </c>
      <c r="C20" s="1290">
        <f>(D20*D4+E20*E4+F4*F20)/B1/10</f>
        <v>8</v>
      </c>
      <c r="D20" s="1291">
        <v>0.4</v>
      </c>
      <c r="E20" s="1291">
        <v>0.4</v>
      </c>
      <c r="F20" s="1291">
        <v>0.2</v>
      </c>
    </row>
    <row r="21" spans="2:11" ht="13.5" customHeight="1" x14ac:dyDescent="0.25"/>
    <row r="22" spans="2:11" ht="13.5" customHeight="1" x14ac:dyDescent="0.25"/>
    <row r="23" spans="2:11" ht="13.5" customHeight="1" x14ac:dyDescent="0.25"/>
    <row r="24" spans="2:11" ht="17.25" customHeight="1" outlineLevel="1" x14ac:dyDescent="0.25">
      <c r="C24" s="1292" t="s">
        <v>389</v>
      </c>
      <c r="D24" s="1293">
        <v>0.6</v>
      </c>
      <c r="E24" s="1293">
        <v>0.2</v>
      </c>
      <c r="F24" s="1293">
        <v>0.1</v>
      </c>
      <c r="H24" s="1271">
        <f>(D24*D3+E24*E3+F24*F3)/10</f>
        <v>5.45</v>
      </c>
      <c r="I24" s="1271" t="s">
        <v>390</v>
      </c>
      <c r="J24" s="1280"/>
      <c r="K24" s="1294">
        <f>+D24*D$17+E24*E$17+F24*F$17</f>
        <v>67007.179999999993</v>
      </c>
    </row>
    <row r="25" spans="2:11" ht="17.25" customHeight="1" outlineLevel="1" x14ac:dyDescent="0.25">
      <c r="B25" s="1295"/>
      <c r="C25" s="1296" t="s">
        <v>391</v>
      </c>
      <c r="D25" s="1297">
        <v>0.4</v>
      </c>
      <c r="E25" s="1297">
        <v>0.3</v>
      </c>
      <c r="F25" s="1297">
        <v>0.2</v>
      </c>
      <c r="H25" s="1271">
        <f>(D25*D3+E25*E3+F25*F3)/10</f>
        <v>6.15</v>
      </c>
      <c r="I25" s="1271" t="s">
        <v>392</v>
      </c>
      <c r="J25" s="1298">
        <f>+K25/K24-1</f>
        <v>0.18935179782226341</v>
      </c>
      <c r="K25" s="1294">
        <f>+D25*D17+E25*E17+F25*F17</f>
        <v>79695.11</v>
      </c>
    </row>
    <row r="26" spans="2:11" ht="17.25" customHeight="1" outlineLevel="1" x14ac:dyDescent="0.25">
      <c r="B26" s="1271"/>
    </row>
    <row r="27" spans="2:11" ht="17.25" customHeight="1" outlineLevel="1" thickBot="1" x14ac:dyDescent="0.3">
      <c r="C27" s="1299" t="s">
        <v>393</v>
      </c>
      <c r="D27" s="1300">
        <v>2364</v>
      </c>
      <c r="E27" s="1301" t="s">
        <v>394</v>
      </c>
      <c r="F27" s="1302"/>
    </row>
    <row r="28" spans="2:11" ht="17.25" customHeight="1" outlineLevel="1" thickBot="1" x14ac:dyDescent="0.4">
      <c r="C28" s="1823">
        <f>(K25-K24)/B1*D27</f>
        <v>29994266.520000018</v>
      </c>
      <c r="D28" s="1824"/>
      <c r="E28" s="1825" t="s">
        <v>395</v>
      </c>
      <c r="F28" s="1826"/>
      <c r="G28" s="1827">
        <f>(H25-H24)*D27</f>
        <v>1654.8000000000004</v>
      </c>
      <c r="H28" s="1828"/>
      <c r="I28" s="1290" t="s">
        <v>396</v>
      </c>
    </row>
    <row r="29" spans="2:11" ht="17.25" customHeight="1" x14ac:dyDescent="0.25">
      <c r="D29" s="1303"/>
    </row>
  </sheetData>
  <mergeCells count="3">
    <mergeCell ref="C28:D28"/>
    <mergeCell ref="E28:F28"/>
    <mergeCell ref="G28:H28"/>
  </mergeCells>
  <pageMargins left="0.7" right="0.7" top="0.75" bottom="0.75" header="0.3" footer="0.3"/>
  <pageSetup paperSize="9" orientation="portrait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2:O44"/>
  <sheetViews>
    <sheetView showGridLines="0" workbookViewId="0">
      <selection activeCell="G8" sqref="G8"/>
    </sheetView>
  </sheetViews>
  <sheetFormatPr baseColWidth="10" defaultColWidth="18.44140625" defaultRowHeight="15" x14ac:dyDescent="0.25"/>
  <cols>
    <col min="1" max="2" width="18.44140625" style="425" customWidth="1"/>
    <col min="3" max="5" width="10.88671875" style="426" customWidth="1"/>
    <col min="6" max="14" width="10.88671875" style="425" customWidth="1"/>
    <col min="15" max="15" width="7.5546875" style="425" customWidth="1"/>
    <col min="16" max="18" width="18.44140625" style="425" customWidth="1"/>
    <col min="19" max="16384" width="18.44140625" style="425"/>
  </cols>
  <sheetData>
    <row r="2" spans="1:15" ht="17.399999999999999" customHeight="1" thickBot="1" x14ac:dyDescent="0.35">
      <c r="A2" s="427" t="s">
        <v>397</v>
      </c>
    </row>
    <row r="3" spans="1:15" ht="16.2" customHeight="1" thickBot="1" x14ac:dyDescent="0.35">
      <c r="B3" s="432" t="s">
        <v>398</v>
      </c>
      <c r="C3" s="433" t="s">
        <v>399</v>
      </c>
      <c r="D3" s="433" t="s">
        <v>400</v>
      </c>
      <c r="E3" s="433" t="s">
        <v>401</v>
      </c>
      <c r="F3" s="433" t="s">
        <v>402</v>
      </c>
      <c r="G3" s="433" t="s">
        <v>403</v>
      </c>
      <c r="H3" s="433" t="s">
        <v>404</v>
      </c>
      <c r="I3" s="433" t="s">
        <v>405</v>
      </c>
      <c r="J3" s="433" t="s">
        <v>406</v>
      </c>
      <c r="K3" s="433" t="s">
        <v>407</v>
      </c>
      <c r="L3" s="433" t="s">
        <v>408</v>
      </c>
      <c r="M3" s="433" t="s">
        <v>409</v>
      </c>
      <c r="N3" s="434" t="s">
        <v>410</v>
      </c>
    </row>
    <row r="4" spans="1:15" x14ac:dyDescent="0.25">
      <c r="A4" s="429" t="s">
        <v>411</v>
      </c>
      <c r="B4" s="1020">
        <v>9</v>
      </c>
      <c r="C4" s="436">
        <v>0.1</v>
      </c>
      <c r="D4" s="437">
        <v>0.1</v>
      </c>
      <c r="E4" s="437"/>
      <c r="F4" s="437"/>
      <c r="G4" s="437">
        <v>0.8</v>
      </c>
      <c r="H4" s="437"/>
      <c r="I4" s="437"/>
      <c r="J4" s="437"/>
      <c r="K4" s="437"/>
      <c r="L4" s="437"/>
      <c r="M4" s="437"/>
      <c r="N4" s="438"/>
      <c r="O4" s="435">
        <f>SUM(C4:N4)</f>
        <v>1</v>
      </c>
    </row>
    <row r="5" spans="1:15" x14ac:dyDescent="0.25">
      <c r="A5" s="430" t="s">
        <v>412</v>
      </c>
      <c r="B5" s="1021">
        <v>40</v>
      </c>
      <c r="C5" s="439"/>
      <c r="D5" s="428"/>
      <c r="E5" s="428"/>
      <c r="F5" s="428"/>
      <c r="G5" s="428"/>
      <c r="H5" s="428"/>
      <c r="I5" s="428"/>
      <c r="J5" s="428"/>
      <c r="K5" s="428"/>
      <c r="L5" s="428"/>
      <c r="M5" s="428"/>
      <c r="N5" s="440"/>
      <c r="O5" s="435">
        <f>SUM(C5:N5)</f>
        <v>0</v>
      </c>
    </row>
    <row r="6" spans="1:15" x14ac:dyDescent="0.25">
      <c r="A6" s="430" t="s">
        <v>101</v>
      </c>
      <c r="B6" s="1021">
        <v>50</v>
      </c>
      <c r="C6" s="439"/>
      <c r="D6" s="428"/>
      <c r="E6" s="428"/>
      <c r="F6" s="428"/>
      <c r="G6" s="428"/>
      <c r="H6" s="428"/>
      <c r="I6" s="428"/>
      <c r="J6" s="428"/>
      <c r="K6" s="428"/>
      <c r="L6" s="428"/>
      <c r="M6" s="428"/>
      <c r="N6" s="440"/>
      <c r="O6" s="435">
        <f>SUM(C6:N6)</f>
        <v>0</v>
      </c>
    </row>
    <row r="7" spans="1:15" x14ac:dyDescent="0.25">
      <c r="A7" s="430" t="s">
        <v>350</v>
      </c>
      <c r="B7" s="1021">
        <v>150</v>
      </c>
      <c r="C7" s="439"/>
      <c r="D7" s="428"/>
      <c r="E7" s="428"/>
      <c r="F7" s="428"/>
      <c r="G7" s="428"/>
      <c r="H7" s="428"/>
      <c r="I7" s="428"/>
      <c r="J7" s="428"/>
      <c r="K7" s="428"/>
      <c r="L7" s="428"/>
      <c r="M7" s="428"/>
      <c r="N7" s="440"/>
      <c r="O7" s="435">
        <f>SUM(C7:N7)</f>
        <v>0</v>
      </c>
    </row>
    <row r="8" spans="1:15" ht="15.6" customHeight="1" thickBot="1" x14ac:dyDescent="0.3">
      <c r="A8" s="431" t="s">
        <v>413</v>
      </c>
      <c r="B8" s="1022">
        <v>20</v>
      </c>
      <c r="C8" s="441"/>
      <c r="D8" s="442"/>
      <c r="E8" s="442"/>
      <c r="F8" s="442"/>
      <c r="G8" s="442"/>
      <c r="H8" s="442"/>
      <c r="I8" s="442"/>
      <c r="J8" s="442"/>
      <c r="K8" s="442"/>
      <c r="L8" s="442"/>
      <c r="M8" s="442"/>
      <c r="N8" s="443"/>
      <c r="O8" s="435">
        <f>SUM(C8:N8)</f>
        <v>0</v>
      </c>
    </row>
    <row r="11" spans="1:15" ht="17.399999999999999" customHeight="1" thickBot="1" x14ac:dyDescent="0.35">
      <c r="A11" s="446" t="s">
        <v>414</v>
      </c>
    </row>
    <row r="12" spans="1:15" ht="16.2" customHeight="1" thickBot="1" x14ac:dyDescent="0.35">
      <c r="B12" s="432" t="s">
        <v>398</v>
      </c>
      <c r="C12" s="433" t="s">
        <v>399</v>
      </c>
      <c r="D12" s="433" t="s">
        <v>400</v>
      </c>
      <c r="E12" s="433" t="s">
        <v>401</v>
      </c>
      <c r="F12" s="433" t="s">
        <v>402</v>
      </c>
      <c r="G12" s="433" t="s">
        <v>403</v>
      </c>
      <c r="H12" s="433" t="s">
        <v>404</v>
      </c>
      <c r="I12" s="433" t="s">
        <v>405</v>
      </c>
      <c r="J12" s="433" t="s">
        <v>406</v>
      </c>
      <c r="K12" s="433" t="s">
        <v>407</v>
      </c>
      <c r="L12" s="433" t="s">
        <v>408</v>
      </c>
      <c r="M12" s="433" t="s">
        <v>409</v>
      </c>
      <c r="N12" s="434" t="s">
        <v>410</v>
      </c>
    </row>
    <row r="13" spans="1:15" x14ac:dyDescent="0.25">
      <c r="A13" s="429" t="s">
        <v>411</v>
      </c>
      <c r="B13" s="1020">
        <v>9</v>
      </c>
      <c r="C13" s="436">
        <v>0.1</v>
      </c>
      <c r="D13" s="437">
        <v>0.1</v>
      </c>
      <c r="E13" s="437"/>
      <c r="F13" s="437"/>
      <c r="G13" s="437">
        <v>0.8</v>
      </c>
      <c r="H13" s="437"/>
      <c r="I13" s="437"/>
      <c r="J13" s="437"/>
      <c r="K13" s="437"/>
      <c r="L13" s="437"/>
      <c r="M13" s="437"/>
      <c r="N13" s="438"/>
      <c r="O13" s="435">
        <f>SUM(C13:N13)</f>
        <v>1</v>
      </c>
    </row>
    <row r="14" spans="1:15" x14ac:dyDescent="0.25">
      <c r="A14" s="430" t="s">
        <v>412</v>
      </c>
      <c r="B14" s="1021">
        <v>40</v>
      </c>
      <c r="C14" s="439"/>
      <c r="D14" s="428"/>
      <c r="E14" s="428"/>
      <c r="F14" s="428"/>
      <c r="G14" s="428"/>
      <c r="H14" s="428"/>
      <c r="I14" s="428"/>
      <c r="J14" s="428"/>
      <c r="K14" s="428"/>
      <c r="L14" s="428"/>
      <c r="M14" s="428"/>
      <c r="N14" s="440"/>
      <c r="O14" s="435">
        <f>SUM(C14:N14)</f>
        <v>0</v>
      </c>
    </row>
    <row r="15" spans="1:15" x14ac:dyDescent="0.25">
      <c r="A15" s="430" t="s">
        <v>101</v>
      </c>
      <c r="B15" s="1021">
        <v>50</v>
      </c>
      <c r="C15" s="439"/>
      <c r="D15" s="428"/>
      <c r="E15" s="428"/>
      <c r="F15" s="428"/>
      <c r="G15" s="428"/>
      <c r="H15" s="428"/>
      <c r="I15" s="428"/>
      <c r="J15" s="428"/>
      <c r="K15" s="428"/>
      <c r="L15" s="428"/>
      <c r="M15" s="428"/>
      <c r="N15" s="440"/>
      <c r="O15" s="435">
        <f>SUM(C15:N15)</f>
        <v>0</v>
      </c>
    </row>
    <row r="16" spans="1:15" x14ac:dyDescent="0.25">
      <c r="A16" s="430" t="s">
        <v>350</v>
      </c>
      <c r="B16" s="1021">
        <v>150</v>
      </c>
      <c r="C16" s="439"/>
      <c r="D16" s="428"/>
      <c r="E16" s="428"/>
      <c r="F16" s="428"/>
      <c r="G16" s="428"/>
      <c r="H16" s="428"/>
      <c r="I16" s="428"/>
      <c r="J16" s="428"/>
      <c r="K16" s="428"/>
      <c r="L16" s="428"/>
      <c r="M16" s="428"/>
      <c r="N16" s="440"/>
      <c r="O16" s="435">
        <f>SUM(C16:N16)</f>
        <v>0</v>
      </c>
    </row>
    <row r="17" spans="1:15" ht="15.6" customHeight="1" thickBot="1" x14ac:dyDescent="0.3">
      <c r="A17" s="431" t="s">
        <v>413</v>
      </c>
      <c r="B17" s="1022">
        <v>20</v>
      </c>
      <c r="C17" s="441"/>
      <c r="D17" s="442"/>
      <c r="E17" s="442"/>
      <c r="F17" s="442"/>
      <c r="G17" s="442"/>
      <c r="H17" s="442"/>
      <c r="I17" s="442"/>
      <c r="J17" s="442"/>
      <c r="K17" s="442"/>
      <c r="L17" s="442"/>
      <c r="M17" s="442"/>
      <c r="N17" s="443"/>
      <c r="O17" s="435">
        <f>SUM(C17:N17)</f>
        <v>0</v>
      </c>
    </row>
    <row r="20" spans="1:15" ht="17.399999999999999" customHeight="1" thickBot="1" x14ac:dyDescent="0.35">
      <c r="A20" s="447" t="s">
        <v>415</v>
      </c>
    </row>
    <row r="21" spans="1:15" ht="16.2" customHeight="1" thickBot="1" x14ac:dyDescent="0.35">
      <c r="B21" s="432" t="s">
        <v>398</v>
      </c>
      <c r="C21" s="433" t="s">
        <v>399</v>
      </c>
      <c r="D21" s="433" t="s">
        <v>400</v>
      </c>
      <c r="E21" s="433" t="s">
        <v>401</v>
      </c>
      <c r="F21" s="433" t="s">
        <v>402</v>
      </c>
      <c r="G21" s="433" t="s">
        <v>403</v>
      </c>
      <c r="H21" s="433" t="s">
        <v>404</v>
      </c>
      <c r="I21" s="433" t="s">
        <v>405</v>
      </c>
      <c r="J21" s="433" t="s">
        <v>406</v>
      </c>
      <c r="K21" s="433" t="s">
        <v>407</v>
      </c>
      <c r="L21" s="433" t="s">
        <v>408</v>
      </c>
      <c r="M21" s="433" t="s">
        <v>409</v>
      </c>
      <c r="N21" s="434" t="s">
        <v>410</v>
      </c>
    </row>
    <row r="22" spans="1:15" x14ac:dyDescent="0.25">
      <c r="A22" s="429" t="s">
        <v>411</v>
      </c>
      <c r="B22" s="1020">
        <v>9</v>
      </c>
      <c r="C22" s="436">
        <v>0.1</v>
      </c>
      <c r="D22" s="437">
        <v>0.1</v>
      </c>
      <c r="E22" s="437"/>
      <c r="F22" s="437"/>
      <c r="G22" s="437">
        <v>0.8</v>
      </c>
      <c r="H22" s="437"/>
      <c r="I22" s="437"/>
      <c r="J22" s="437"/>
      <c r="K22" s="437"/>
      <c r="L22" s="437"/>
      <c r="M22" s="437"/>
      <c r="N22" s="438"/>
      <c r="O22" s="435">
        <f>SUM(C22:N22)</f>
        <v>1</v>
      </c>
    </row>
    <row r="23" spans="1:15" x14ac:dyDescent="0.25">
      <c r="A23" s="430" t="s">
        <v>412</v>
      </c>
      <c r="B23" s="1021">
        <v>40</v>
      </c>
      <c r="C23" s="439"/>
      <c r="D23" s="428"/>
      <c r="E23" s="428"/>
      <c r="F23" s="428"/>
      <c r="G23" s="428"/>
      <c r="H23" s="428"/>
      <c r="I23" s="428"/>
      <c r="J23" s="428"/>
      <c r="K23" s="428"/>
      <c r="L23" s="428"/>
      <c r="M23" s="428"/>
      <c r="N23" s="440"/>
      <c r="O23" s="435">
        <f>SUM(C23:N23)</f>
        <v>0</v>
      </c>
    </row>
    <row r="24" spans="1:15" x14ac:dyDescent="0.25">
      <c r="A24" s="430" t="s">
        <v>101</v>
      </c>
      <c r="B24" s="1021">
        <v>50</v>
      </c>
      <c r="C24" s="439"/>
      <c r="D24" s="428"/>
      <c r="E24" s="428"/>
      <c r="F24" s="428"/>
      <c r="G24" s="428"/>
      <c r="H24" s="428"/>
      <c r="I24" s="428"/>
      <c r="J24" s="428"/>
      <c r="K24" s="428"/>
      <c r="L24" s="428"/>
      <c r="M24" s="428"/>
      <c r="N24" s="440"/>
      <c r="O24" s="435">
        <f>SUM(C24:N24)</f>
        <v>0</v>
      </c>
    </row>
    <row r="25" spans="1:15" x14ac:dyDescent="0.25">
      <c r="A25" s="430" t="s">
        <v>350</v>
      </c>
      <c r="B25" s="1021">
        <v>150</v>
      </c>
      <c r="C25" s="439"/>
      <c r="D25" s="428"/>
      <c r="E25" s="428"/>
      <c r="F25" s="428"/>
      <c r="G25" s="428"/>
      <c r="H25" s="428"/>
      <c r="I25" s="428"/>
      <c r="J25" s="428"/>
      <c r="K25" s="428"/>
      <c r="L25" s="428"/>
      <c r="M25" s="428"/>
      <c r="N25" s="440"/>
      <c r="O25" s="435">
        <f>SUM(C25:N25)</f>
        <v>0</v>
      </c>
    </row>
    <row r="26" spans="1:15" ht="15.6" customHeight="1" thickBot="1" x14ac:dyDescent="0.3">
      <c r="A26" s="431" t="s">
        <v>413</v>
      </c>
      <c r="B26" s="1022">
        <v>20</v>
      </c>
      <c r="C26" s="441"/>
      <c r="D26" s="442"/>
      <c r="E26" s="442"/>
      <c r="F26" s="442"/>
      <c r="G26" s="442"/>
      <c r="H26" s="442"/>
      <c r="I26" s="442"/>
      <c r="J26" s="442"/>
      <c r="K26" s="442"/>
      <c r="L26" s="442"/>
      <c r="M26" s="442"/>
      <c r="N26" s="443"/>
      <c r="O26" s="435">
        <f>SUM(C26:N26)</f>
        <v>0</v>
      </c>
    </row>
    <row r="29" spans="1:15" ht="17.399999999999999" customHeight="1" thickBot="1" x14ac:dyDescent="0.35">
      <c r="A29" s="445" t="s">
        <v>416</v>
      </c>
    </row>
    <row r="30" spans="1:15" ht="16.2" customHeight="1" thickBot="1" x14ac:dyDescent="0.35">
      <c r="B30" s="432" t="s">
        <v>398</v>
      </c>
      <c r="C30" s="433" t="s">
        <v>399</v>
      </c>
      <c r="D30" s="433" t="s">
        <v>400</v>
      </c>
      <c r="E30" s="433" t="s">
        <v>401</v>
      </c>
      <c r="F30" s="433" t="s">
        <v>402</v>
      </c>
      <c r="G30" s="433" t="s">
        <v>403</v>
      </c>
      <c r="H30" s="433" t="s">
        <v>404</v>
      </c>
      <c r="I30" s="433" t="s">
        <v>405</v>
      </c>
      <c r="J30" s="433" t="s">
        <v>406</v>
      </c>
      <c r="K30" s="433" t="s">
        <v>407</v>
      </c>
      <c r="L30" s="433" t="s">
        <v>408</v>
      </c>
      <c r="M30" s="433" t="s">
        <v>409</v>
      </c>
      <c r="N30" s="434" t="s">
        <v>410</v>
      </c>
    </row>
    <row r="31" spans="1:15" x14ac:dyDescent="0.25">
      <c r="A31" s="429" t="s">
        <v>411</v>
      </c>
      <c r="B31" s="1020">
        <v>9</v>
      </c>
      <c r="C31" s="436">
        <v>0.1</v>
      </c>
      <c r="D31" s="437">
        <v>0.1</v>
      </c>
      <c r="E31" s="437"/>
      <c r="F31" s="437"/>
      <c r="G31" s="437">
        <v>0.8</v>
      </c>
      <c r="H31" s="437"/>
      <c r="I31" s="437"/>
      <c r="J31" s="437"/>
      <c r="K31" s="437"/>
      <c r="L31" s="437"/>
      <c r="M31" s="437"/>
      <c r="N31" s="438"/>
      <c r="O31" s="435">
        <f>SUM(C31:N31)</f>
        <v>1</v>
      </c>
    </row>
    <row r="32" spans="1:15" x14ac:dyDescent="0.25">
      <c r="A32" s="430" t="s">
        <v>412</v>
      </c>
      <c r="B32" s="1021">
        <v>40</v>
      </c>
      <c r="C32" s="439"/>
      <c r="D32" s="428"/>
      <c r="E32" s="428"/>
      <c r="F32" s="428"/>
      <c r="G32" s="428"/>
      <c r="H32" s="428"/>
      <c r="I32" s="428"/>
      <c r="J32" s="428"/>
      <c r="K32" s="428"/>
      <c r="L32" s="428"/>
      <c r="M32" s="428"/>
      <c r="N32" s="440"/>
      <c r="O32" s="435">
        <f>SUM(C32:N32)</f>
        <v>0</v>
      </c>
    </row>
    <row r="33" spans="1:15" x14ac:dyDescent="0.25">
      <c r="A33" s="430" t="s">
        <v>101</v>
      </c>
      <c r="B33" s="1021">
        <v>50</v>
      </c>
      <c r="C33" s="439"/>
      <c r="D33" s="428"/>
      <c r="E33" s="428"/>
      <c r="F33" s="428"/>
      <c r="G33" s="428"/>
      <c r="H33" s="428"/>
      <c r="I33" s="428"/>
      <c r="J33" s="428"/>
      <c r="K33" s="428"/>
      <c r="L33" s="428"/>
      <c r="M33" s="428"/>
      <c r="N33" s="440"/>
      <c r="O33" s="435">
        <f>SUM(C33:N33)</f>
        <v>0</v>
      </c>
    </row>
    <row r="34" spans="1:15" x14ac:dyDescent="0.25">
      <c r="A34" s="430" t="s">
        <v>350</v>
      </c>
      <c r="B34" s="1021">
        <v>150</v>
      </c>
      <c r="C34" s="439"/>
      <c r="D34" s="428"/>
      <c r="E34" s="428"/>
      <c r="F34" s="428"/>
      <c r="G34" s="428"/>
      <c r="H34" s="428"/>
      <c r="I34" s="428"/>
      <c r="J34" s="428"/>
      <c r="K34" s="428"/>
      <c r="L34" s="428"/>
      <c r="M34" s="428"/>
      <c r="N34" s="440"/>
      <c r="O34" s="435">
        <f>SUM(C34:N34)</f>
        <v>0</v>
      </c>
    </row>
    <row r="35" spans="1:15" ht="15.6" customHeight="1" thickBot="1" x14ac:dyDescent="0.3">
      <c r="A35" s="431" t="s">
        <v>413</v>
      </c>
      <c r="B35" s="1022">
        <v>20</v>
      </c>
      <c r="C35" s="441"/>
      <c r="D35" s="442"/>
      <c r="E35" s="442"/>
      <c r="F35" s="442"/>
      <c r="G35" s="442"/>
      <c r="H35" s="442"/>
      <c r="I35" s="442"/>
      <c r="J35" s="442"/>
      <c r="K35" s="442"/>
      <c r="L35" s="442"/>
      <c r="M35" s="442"/>
      <c r="N35" s="443"/>
      <c r="O35" s="435">
        <f>SUM(C35:N35)</f>
        <v>0</v>
      </c>
    </row>
    <row r="38" spans="1:15" ht="17.399999999999999" customHeight="1" thickBot="1" x14ac:dyDescent="0.35">
      <c r="A38" s="444" t="s">
        <v>417</v>
      </c>
    </row>
    <row r="39" spans="1:15" ht="16.2" customHeight="1" thickBot="1" x14ac:dyDescent="0.35">
      <c r="B39" s="432" t="s">
        <v>398</v>
      </c>
      <c r="C39" s="433" t="s">
        <v>399</v>
      </c>
      <c r="D39" s="433" t="s">
        <v>400</v>
      </c>
      <c r="E39" s="433" t="s">
        <v>401</v>
      </c>
      <c r="F39" s="433" t="s">
        <v>402</v>
      </c>
      <c r="G39" s="433" t="s">
        <v>403</v>
      </c>
      <c r="H39" s="433" t="s">
        <v>404</v>
      </c>
      <c r="I39" s="433" t="s">
        <v>405</v>
      </c>
      <c r="J39" s="433" t="s">
        <v>406</v>
      </c>
      <c r="K39" s="433" t="s">
        <v>407</v>
      </c>
      <c r="L39" s="433" t="s">
        <v>408</v>
      </c>
      <c r="M39" s="433" t="s">
        <v>409</v>
      </c>
      <c r="N39" s="434" t="s">
        <v>410</v>
      </c>
    </row>
    <row r="40" spans="1:15" x14ac:dyDescent="0.25">
      <c r="A40" s="429" t="s">
        <v>411</v>
      </c>
      <c r="B40" s="1020">
        <v>9</v>
      </c>
      <c r="C40" s="436">
        <v>0.1</v>
      </c>
      <c r="D40" s="437">
        <v>0.1</v>
      </c>
      <c r="E40" s="437"/>
      <c r="F40" s="437"/>
      <c r="G40" s="437">
        <v>0.8</v>
      </c>
      <c r="H40" s="437"/>
      <c r="I40" s="437"/>
      <c r="J40" s="437"/>
      <c r="K40" s="437"/>
      <c r="L40" s="437"/>
      <c r="M40" s="437"/>
      <c r="N40" s="438"/>
      <c r="O40" s="435">
        <f>SUM(C40:N40)</f>
        <v>1</v>
      </c>
    </row>
    <row r="41" spans="1:15" x14ac:dyDescent="0.25">
      <c r="A41" s="430" t="s">
        <v>412</v>
      </c>
      <c r="B41" s="1021">
        <v>40</v>
      </c>
      <c r="C41" s="439"/>
      <c r="D41" s="428"/>
      <c r="E41" s="428"/>
      <c r="F41" s="428"/>
      <c r="G41" s="428"/>
      <c r="H41" s="428"/>
      <c r="I41" s="428"/>
      <c r="J41" s="428"/>
      <c r="K41" s="428"/>
      <c r="L41" s="428"/>
      <c r="M41" s="428"/>
      <c r="N41" s="440"/>
      <c r="O41" s="435">
        <f>SUM(C41:N41)</f>
        <v>0</v>
      </c>
    </row>
    <row r="42" spans="1:15" x14ac:dyDescent="0.25">
      <c r="A42" s="430" t="s">
        <v>101</v>
      </c>
      <c r="B42" s="1021">
        <v>50</v>
      </c>
      <c r="C42" s="439"/>
      <c r="D42" s="428"/>
      <c r="E42" s="428"/>
      <c r="F42" s="428"/>
      <c r="G42" s="428"/>
      <c r="H42" s="428"/>
      <c r="I42" s="428"/>
      <c r="J42" s="428"/>
      <c r="K42" s="428"/>
      <c r="L42" s="428"/>
      <c r="M42" s="428"/>
      <c r="N42" s="440"/>
      <c r="O42" s="435">
        <f>SUM(C42:N42)</f>
        <v>0</v>
      </c>
    </row>
    <row r="43" spans="1:15" x14ac:dyDescent="0.25">
      <c r="A43" s="430" t="s">
        <v>350</v>
      </c>
      <c r="B43" s="1021">
        <v>150</v>
      </c>
      <c r="C43" s="439"/>
      <c r="D43" s="428"/>
      <c r="E43" s="428"/>
      <c r="F43" s="428"/>
      <c r="G43" s="428"/>
      <c r="H43" s="428"/>
      <c r="I43" s="428"/>
      <c r="J43" s="428"/>
      <c r="K43" s="428"/>
      <c r="L43" s="428"/>
      <c r="M43" s="428"/>
      <c r="N43" s="440"/>
      <c r="O43" s="435">
        <f>SUM(C43:N43)</f>
        <v>0</v>
      </c>
    </row>
    <row r="44" spans="1:15" ht="15.6" customHeight="1" thickBot="1" x14ac:dyDescent="0.3">
      <c r="A44" s="431" t="s">
        <v>413</v>
      </c>
      <c r="B44" s="1022">
        <v>20</v>
      </c>
      <c r="C44" s="441"/>
      <c r="D44" s="442"/>
      <c r="E44" s="442"/>
      <c r="F44" s="442"/>
      <c r="G44" s="442"/>
      <c r="H44" s="442"/>
      <c r="I44" s="442"/>
      <c r="J44" s="442"/>
      <c r="K44" s="442"/>
      <c r="L44" s="442"/>
      <c r="M44" s="442"/>
      <c r="N44" s="443"/>
      <c r="O44" s="435">
        <f>SUM(C44:N44)</f>
        <v>0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I275"/>
  <sheetViews>
    <sheetView topLeftCell="A205" workbookViewId="0">
      <selection activeCell="F229" sqref="F229"/>
    </sheetView>
  </sheetViews>
  <sheetFormatPr baseColWidth="10" defaultRowHeight="13.2" x14ac:dyDescent="0.25"/>
  <cols>
    <col min="4" max="4" width="47.44140625" style="662" bestFit="1" customWidth="1"/>
    <col min="6" max="6" width="11.44140625" style="633" customWidth="1"/>
    <col min="7" max="8" width="11.44140625" style="634" customWidth="1"/>
    <col min="9" max="9" width="11.44140625" style="633" customWidth="1"/>
  </cols>
  <sheetData>
    <row r="1" spans="1:9" x14ac:dyDescent="0.25">
      <c r="A1" s="631" t="s">
        <v>418</v>
      </c>
      <c r="B1" s="631" t="s">
        <v>419</v>
      </c>
      <c r="C1" s="631" t="s">
        <v>420</v>
      </c>
      <c r="D1" s="631" t="s">
        <v>421</v>
      </c>
      <c r="E1" s="631" t="s">
        <v>420</v>
      </c>
      <c r="F1" s="632" t="s">
        <v>422</v>
      </c>
      <c r="G1" s="632" t="s">
        <v>371</v>
      </c>
      <c r="H1" s="632" t="s">
        <v>423</v>
      </c>
      <c r="I1" s="632" t="s">
        <v>424</v>
      </c>
    </row>
    <row r="2" spans="1:9" ht="15" customHeight="1" x14ac:dyDescent="0.25">
      <c r="A2" t="s">
        <v>425</v>
      </c>
      <c r="B2" t="s">
        <v>426</v>
      </c>
      <c r="C2" t="s">
        <v>427</v>
      </c>
      <c r="D2" t="s">
        <v>428</v>
      </c>
      <c r="E2" t="s">
        <v>427</v>
      </c>
      <c r="F2" s="633">
        <v>6.2</v>
      </c>
      <c r="G2" s="634">
        <v>1.302</v>
      </c>
      <c r="H2" s="634">
        <v>0</v>
      </c>
      <c r="I2" s="633">
        <v>7.5019999999999998</v>
      </c>
    </row>
    <row r="3" spans="1:9" ht="15" customHeight="1" x14ac:dyDescent="0.25">
      <c r="A3" t="s">
        <v>429</v>
      </c>
      <c r="B3" t="s">
        <v>426</v>
      </c>
      <c r="C3" t="s">
        <v>430</v>
      </c>
      <c r="D3" t="s">
        <v>431</v>
      </c>
      <c r="E3" t="s">
        <v>430</v>
      </c>
      <c r="F3" s="633">
        <v>95</v>
      </c>
      <c r="G3" s="634">
        <v>9.9749999999999996</v>
      </c>
      <c r="H3" s="634">
        <v>0</v>
      </c>
      <c r="I3" s="633">
        <v>104.97499999999999</v>
      </c>
    </row>
    <row r="4" spans="1:9" ht="15" customHeight="1" x14ac:dyDescent="0.25">
      <c r="A4" t="s">
        <v>429</v>
      </c>
      <c r="B4" t="s">
        <v>426</v>
      </c>
      <c r="C4" t="s">
        <v>432</v>
      </c>
      <c r="D4" t="s">
        <v>433</v>
      </c>
      <c r="E4" t="s">
        <v>432</v>
      </c>
      <c r="F4" s="633">
        <v>190</v>
      </c>
      <c r="G4" s="634">
        <v>19.95</v>
      </c>
      <c r="H4" s="634">
        <v>0</v>
      </c>
      <c r="I4" s="633">
        <v>209.95</v>
      </c>
    </row>
    <row r="5" spans="1:9" ht="15" customHeight="1" x14ac:dyDescent="0.25">
      <c r="A5" t="s">
        <v>434</v>
      </c>
      <c r="B5" t="s">
        <v>426</v>
      </c>
      <c r="C5" t="s">
        <v>435</v>
      </c>
      <c r="D5" t="s">
        <v>436</v>
      </c>
      <c r="E5" t="s">
        <v>435</v>
      </c>
      <c r="F5" s="633">
        <v>7.4</v>
      </c>
      <c r="G5" s="634">
        <v>1.554</v>
      </c>
      <c r="H5" s="634">
        <v>0</v>
      </c>
      <c r="I5" s="633">
        <v>8.9540000000000006</v>
      </c>
    </row>
    <row r="6" spans="1:9" ht="15" customHeight="1" x14ac:dyDescent="0.25">
      <c r="A6" t="s">
        <v>434</v>
      </c>
      <c r="B6" t="s">
        <v>426</v>
      </c>
      <c r="C6" t="s">
        <v>437</v>
      </c>
      <c r="D6" t="s">
        <v>438</v>
      </c>
      <c r="E6" t="s">
        <v>437</v>
      </c>
      <c r="F6" s="633">
        <v>4.7</v>
      </c>
      <c r="G6" s="634">
        <v>0.98699999999999999</v>
      </c>
      <c r="H6" s="634">
        <v>0</v>
      </c>
      <c r="I6" s="633">
        <v>5.6870000000000003</v>
      </c>
    </row>
    <row r="7" spans="1:9" ht="15" customHeight="1" x14ac:dyDescent="0.25">
      <c r="A7" t="s">
        <v>434</v>
      </c>
      <c r="B7" t="s">
        <v>426</v>
      </c>
      <c r="C7" t="s">
        <v>30</v>
      </c>
      <c r="D7" t="s">
        <v>439</v>
      </c>
      <c r="E7" t="s">
        <v>30</v>
      </c>
      <c r="F7" s="633">
        <v>5.95</v>
      </c>
      <c r="G7" s="634">
        <v>1.2495000000000001</v>
      </c>
      <c r="H7" s="634">
        <v>0</v>
      </c>
      <c r="I7" s="633">
        <v>7.1994999999999996</v>
      </c>
    </row>
    <row r="8" spans="1:9" ht="15" customHeight="1" x14ac:dyDescent="0.25">
      <c r="A8" t="s">
        <v>434</v>
      </c>
      <c r="B8" t="s">
        <v>426</v>
      </c>
      <c r="C8" t="s">
        <v>440</v>
      </c>
      <c r="D8" t="s">
        <v>441</v>
      </c>
      <c r="E8" t="s">
        <v>440</v>
      </c>
      <c r="F8" s="633">
        <v>6</v>
      </c>
      <c r="G8" s="634">
        <v>1.26</v>
      </c>
      <c r="H8" s="634">
        <v>0</v>
      </c>
      <c r="I8" s="633">
        <v>7.26</v>
      </c>
    </row>
    <row r="9" spans="1:9" ht="15" customHeight="1" x14ac:dyDescent="0.25">
      <c r="A9" t="s">
        <v>434</v>
      </c>
      <c r="B9" t="s">
        <v>426</v>
      </c>
      <c r="C9" t="s">
        <v>442</v>
      </c>
      <c r="D9" t="s">
        <v>443</v>
      </c>
      <c r="E9" t="s">
        <v>442</v>
      </c>
      <c r="F9" s="633">
        <v>1.56</v>
      </c>
      <c r="G9" s="634">
        <v>0.1638</v>
      </c>
      <c r="H9" s="634">
        <v>0</v>
      </c>
      <c r="I9" s="633">
        <v>1.7238</v>
      </c>
    </row>
    <row r="10" spans="1:9" ht="15" customHeight="1" x14ac:dyDescent="0.25">
      <c r="A10" t="s">
        <v>434</v>
      </c>
      <c r="B10" t="s">
        <v>426</v>
      </c>
      <c r="C10" t="s">
        <v>444</v>
      </c>
      <c r="D10" t="s">
        <v>445</v>
      </c>
      <c r="E10" t="s">
        <v>444</v>
      </c>
      <c r="F10" s="633">
        <v>120</v>
      </c>
      <c r="G10" s="634">
        <v>25.2</v>
      </c>
      <c r="H10" s="634">
        <v>0</v>
      </c>
      <c r="I10" s="633">
        <v>145.19999999999999</v>
      </c>
    </row>
    <row r="11" spans="1:9" ht="15" customHeight="1" x14ac:dyDescent="0.25">
      <c r="A11" t="s">
        <v>434</v>
      </c>
      <c r="B11" t="s">
        <v>426</v>
      </c>
      <c r="C11" t="s">
        <v>14</v>
      </c>
      <c r="D11" t="s">
        <v>446</v>
      </c>
      <c r="E11" t="s">
        <v>14</v>
      </c>
      <c r="F11" s="633">
        <v>7.5</v>
      </c>
      <c r="G11" s="634">
        <v>1.575</v>
      </c>
      <c r="H11" s="634">
        <v>0</v>
      </c>
      <c r="I11" s="633">
        <v>9.0749999999999993</v>
      </c>
    </row>
    <row r="12" spans="1:9" ht="15" customHeight="1" x14ac:dyDescent="0.25">
      <c r="A12" t="s">
        <v>434</v>
      </c>
      <c r="B12" t="s">
        <v>426</v>
      </c>
      <c r="C12" t="s">
        <v>447</v>
      </c>
      <c r="D12" t="s">
        <v>448</v>
      </c>
      <c r="E12" t="s">
        <v>447</v>
      </c>
      <c r="F12" s="633">
        <v>7</v>
      </c>
      <c r="G12" s="634">
        <v>1.47</v>
      </c>
      <c r="H12" s="634">
        <v>0</v>
      </c>
      <c r="I12" s="633">
        <v>8.4700000000000006</v>
      </c>
    </row>
    <row r="13" spans="1:9" ht="15" customHeight="1" x14ac:dyDescent="0.25">
      <c r="A13" t="s">
        <v>434</v>
      </c>
      <c r="B13" t="s">
        <v>426</v>
      </c>
      <c r="C13" t="s">
        <v>13</v>
      </c>
      <c r="D13" t="s">
        <v>449</v>
      </c>
      <c r="E13" t="s">
        <v>13</v>
      </c>
      <c r="F13" s="633">
        <v>3.75</v>
      </c>
      <c r="G13" s="634">
        <v>0.78749999999999998</v>
      </c>
      <c r="H13" s="634">
        <v>0</v>
      </c>
      <c r="I13" s="633">
        <v>4.5374999999999996</v>
      </c>
    </row>
    <row r="14" spans="1:9" ht="15" customHeight="1" x14ac:dyDescent="0.25">
      <c r="A14" t="s">
        <v>434</v>
      </c>
      <c r="B14" t="s">
        <v>426</v>
      </c>
      <c r="C14" t="s">
        <v>29</v>
      </c>
      <c r="D14" t="s">
        <v>450</v>
      </c>
      <c r="E14" t="s">
        <v>29</v>
      </c>
      <c r="F14" s="633">
        <v>13.5</v>
      </c>
      <c r="G14" s="634">
        <v>2.835</v>
      </c>
      <c r="H14" s="634">
        <v>0</v>
      </c>
      <c r="I14" s="633">
        <v>16.335000000000001</v>
      </c>
    </row>
    <row r="15" spans="1:9" ht="15" customHeight="1" x14ac:dyDescent="0.25">
      <c r="A15" t="s">
        <v>434</v>
      </c>
      <c r="B15" t="s">
        <v>426</v>
      </c>
      <c r="C15" t="s">
        <v>451</v>
      </c>
      <c r="D15" t="s">
        <v>452</v>
      </c>
      <c r="E15" t="s">
        <v>451</v>
      </c>
      <c r="F15" s="633">
        <v>60.5</v>
      </c>
      <c r="G15" s="634">
        <v>12.705</v>
      </c>
      <c r="H15" s="634">
        <v>0</v>
      </c>
      <c r="I15" s="633">
        <v>73.204999999999998</v>
      </c>
    </row>
    <row r="16" spans="1:9" ht="15" customHeight="1" x14ac:dyDescent="0.25">
      <c r="A16" t="s">
        <v>434</v>
      </c>
      <c r="B16" t="s">
        <v>426</v>
      </c>
      <c r="C16" t="s">
        <v>453</v>
      </c>
      <c r="D16" t="s">
        <v>454</v>
      </c>
      <c r="E16" t="s">
        <v>453</v>
      </c>
      <c r="F16" s="633">
        <v>7.9</v>
      </c>
      <c r="G16" s="634">
        <v>1.659</v>
      </c>
      <c r="H16" s="634">
        <v>0</v>
      </c>
      <c r="I16" s="633">
        <v>9.5589999999999993</v>
      </c>
    </row>
    <row r="17" spans="1:9" ht="15" customHeight="1" x14ac:dyDescent="0.25">
      <c r="A17" t="s">
        <v>434</v>
      </c>
      <c r="B17" t="s">
        <v>426</v>
      </c>
      <c r="C17" t="s">
        <v>16</v>
      </c>
      <c r="D17" t="s">
        <v>455</v>
      </c>
      <c r="E17" t="s">
        <v>16</v>
      </c>
      <c r="F17" s="633">
        <v>15.8</v>
      </c>
      <c r="G17" s="634">
        <v>3.3180000000000001</v>
      </c>
      <c r="H17" s="634">
        <v>0</v>
      </c>
      <c r="I17" s="633">
        <v>19.117999999999999</v>
      </c>
    </row>
    <row r="18" spans="1:9" ht="15" customHeight="1" x14ac:dyDescent="0.25">
      <c r="A18" t="s">
        <v>434</v>
      </c>
      <c r="B18" t="s">
        <v>426</v>
      </c>
      <c r="C18" t="s">
        <v>456</v>
      </c>
      <c r="D18" t="s">
        <v>457</v>
      </c>
      <c r="E18" t="s">
        <v>456</v>
      </c>
      <c r="F18" s="633">
        <v>26.5</v>
      </c>
      <c r="G18" s="634">
        <v>5.5650000000000004</v>
      </c>
      <c r="H18" s="634">
        <v>0</v>
      </c>
      <c r="I18" s="633">
        <v>32.064999999999998</v>
      </c>
    </row>
    <row r="19" spans="1:9" ht="15" customHeight="1" x14ac:dyDescent="0.25">
      <c r="A19" t="s">
        <v>434</v>
      </c>
      <c r="B19" t="s">
        <v>426</v>
      </c>
      <c r="C19" t="s">
        <v>458</v>
      </c>
      <c r="D19" t="s">
        <v>459</v>
      </c>
      <c r="E19" t="s">
        <v>458</v>
      </c>
      <c r="F19" s="633">
        <v>377</v>
      </c>
      <c r="G19" s="634">
        <v>79.17</v>
      </c>
      <c r="H19" s="634">
        <v>0</v>
      </c>
      <c r="I19" s="633">
        <v>456.17</v>
      </c>
    </row>
    <row r="20" spans="1:9" ht="15" customHeight="1" x14ac:dyDescent="0.25">
      <c r="A20" t="s">
        <v>434</v>
      </c>
      <c r="B20" t="s">
        <v>426</v>
      </c>
      <c r="C20" t="s">
        <v>460</v>
      </c>
      <c r="D20" t="s">
        <v>461</v>
      </c>
      <c r="E20" t="s">
        <v>460</v>
      </c>
      <c r="F20" s="633">
        <v>1.52</v>
      </c>
      <c r="G20" s="634">
        <v>0.15959999999999999</v>
      </c>
      <c r="H20" s="634">
        <v>0</v>
      </c>
      <c r="I20" s="633">
        <v>1.6796</v>
      </c>
    </row>
    <row r="21" spans="1:9" ht="15" customHeight="1" x14ac:dyDescent="0.25">
      <c r="A21" t="s">
        <v>434</v>
      </c>
      <c r="B21" t="s">
        <v>426</v>
      </c>
      <c r="C21" t="s">
        <v>462</v>
      </c>
      <c r="D21" t="s">
        <v>463</v>
      </c>
      <c r="E21" t="s">
        <v>462</v>
      </c>
      <c r="F21" s="633">
        <v>5.8</v>
      </c>
      <c r="G21" s="634">
        <v>1.218</v>
      </c>
      <c r="H21" s="634">
        <v>0</v>
      </c>
      <c r="I21" s="633">
        <v>7.0179999999999998</v>
      </c>
    </row>
    <row r="22" spans="1:9" ht="15" customHeight="1" x14ac:dyDescent="0.25">
      <c r="A22" t="s">
        <v>434</v>
      </c>
      <c r="B22" t="s">
        <v>426</v>
      </c>
      <c r="C22" t="s">
        <v>464</v>
      </c>
      <c r="D22" t="s">
        <v>465</v>
      </c>
      <c r="E22" t="s">
        <v>464</v>
      </c>
      <c r="F22" s="633">
        <v>285</v>
      </c>
      <c r="G22" s="634">
        <v>59.85</v>
      </c>
      <c r="H22" s="634">
        <v>0</v>
      </c>
      <c r="I22" s="633">
        <v>344.85</v>
      </c>
    </row>
    <row r="23" spans="1:9" ht="15" customHeight="1" x14ac:dyDescent="0.25">
      <c r="A23" t="s">
        <v>434</v>
      </c>
      <c r="B23" t="s">
        <v>426</v>
      </c>
      <c r="C23" t="s">
        <v>466</v>
      </c>
      <c r="D23" t="s">
        <v>467</v>
      </c>
      <c r="E23" t="s">
        <v>466</v>
      </c>
      <c r="F23" s="633">
        <v>13.5</v>
      </c>
      <c r="G23" s="634">
        <v>2.835</v>
      </c>
      <c r="H23" s="634">
        <v>0</v>
      </c>
      <c r="I23" s="633">
        <v>16.335000000000001</v>
      </c>
    </row>
    <row r="24" spans="1:9" ht="15" customHeight="1" x14ac:dyDescent="0.25">
      <c r="A24" t="s">
        <v>434</v>
      </c>
      <c r="B24" t="s">
        <v>426</v>
      </c>
      <c r="C24" t="s">
        <v>468</v>
      </c>
      <c r="D24" t="s">
        <v>469</v>
      </c>
      <c r="E24" t="s">
        <v>468</v>
      </c>
      <c r="F24" s="633">
        <v>170</v>
      </c>
      <c r="G24" s="634">
        <v>35.700000000000003</v>
      </c>
      <c r="H24" s="634">
        <v>0</v>
      </c>
      <c r="I24" s="633">
        <v>205.7</v>
      </c>
    </row>
    <row r="25" spans="1:9" ht="15" customHeight="1" x14ac:dyDescent="0.25">
      <c r="A25" t="s">
        <v>434</v>
      </c>
      <c r="B25" t="s">
        <v>426</v>
      </c>
      <c r="C25" t="s">
        <v>34</v>
      </c>
      <c r="D25" t="s">
        <v>470</v>
      </c>
      <c r="E25" t="s">
        <v>34</v>
      </c>
      <c r="F25" s="633">
        <v>28.37</v>
      </c>
      <c r="G25" s="634">
        <v>5.9577</v>
      </c>
      <c r="H25" s="634">
        <v>0</v>
      </c>
      <c r="I25" s="633">
        <v>34.3277</v>
      </c>
    </row>
    <row r="26" spans="1:9" ht="15" customHeight="1" x14ac:dyDescent="0.25">
      <c r="A26" t="s">
        <v>434</v>
      </c>
      <c r="B26" t="s">
        <v>426</v>
      </c>
      <c r="C26" t="s">
        <v>471</v>
      </c>
      <c r="D26" t="s">
        <v>472</v>
      </c>
      <c r="E26" t="s">
        <v>471</v>
      </c>
      <c r="F26" s="633">
        <v>10.5</v>
      </c>
      <c r="G26" s="634">
        <v>2.2050000000000001</v>
      </c>
      <c r="H26" s="634">
        <v>0</v>
      </c>
      <c r="I26" s="633">
        <v>12.705</v>
      </c>
    </row>
    <row r="27" spans="1:9" ht="15" customHeight="1" x14ac:dyDescent="0.25">
      <c r="A27" t="s">
        <v>434</v>
      </c>
      <c r="B27" t="s">
        <v>426</v>
      </c>
      <c r="C27" t="s">
        <v>473</v>
      </c>
      <c r="D27" t="s">
        <v>474</v>
      </c>
      <c r="E27" t="s">
        <v>473</v>
      </c>
      <c r="F27" s="633">
        <v>10.5</v>
      </c>
      <c r="G27" s="634">
        <v>2.2050000000000001</v>
      </c>
      <c r="H27" s="634">
        <v>0</v>
      </c>
      <c r="I27" s="633">
        <v>12.705</v>
      </c>
    </row>
    <row r="28" spans="1:9" ht="15" customHeight="1" x14ac:dyDescent="0.25">
      <c r="A28" t="s">
        <v>434</v>
      </c>
      <c r="B28" t="s">
        <v>426</v>
      </c>
      <c r="C28" t="s">
        <v>475</v>
      </c>
      <c r="D28" t="s">
        <v>476</v>
      </c>
      <c r="E28" t="s">
        <v>475</v>
      </c>
      <c r="F28" s="633">
        <v>44</v>
      </c>
      <c r="G28" s="634">
        <v>9.24</v>
      </c>
      <c r="H28" s="634">
        <v>0</v>
      </c>
      <c r="I28" s="633">
        <v>53.24</v>
      </c>
    </row>
    <row r="29" spans="1:9" ht="15" customHeight="1" x14ac:dyDescent="0.25">
      <c r="A29" t="s">
        <v>434</v>
      </c>
      <c r="B29" t="s">
        <v>426</v>
      </c>
      <c r="C29" t="s">
        <v>26</v>
      </c>
      <c r="D29" t="s">
        <v>477</v>
      </c>
      <c r="E29" t="s">
        <v>26</v>
      </c>
      <c r="F29" s="633">
        <v>2.5</v>
      </c>
      <c r="G29" s="634">
        <v>0.52500000000000002</v>
      </c>
      <c r="H29" s="634">
        <v>0</v>
      </c>
      <c r="I29" s="633">
        <v>3.0249999999999999</v>
      </c>
    </row>
    <row r="30" spans="1:9" ht="15" customHeight="1" x14ac:dyDescent="0.25">
      <c r="A30" t="s">
        <v>434</v>
      </c>
      <c r="B30" t="s">
        <v>426</v>
      </c>
      <c r="C30" t="s">
        <v>478</v>
      </c>
      <c r="D30" t="s">
        <v>479</v>
      </c>
      <c r="E30" t="s">
        <v>478</v>
      </c>
      <c r="F30" s="633">
        <v>6.15</v>
      </c>
      <c r="G30" s="634">
        <v>1.2915000000000001</v>
      </c>
      <c r="H30" s="634">
        <v>0</v>
      </c>
      <c r="I30" s="633">
        <v>7.4414999999999996</v>
      </c>
    </row>
    <row r="31" spans="1:9" ht="15" customHeight="1" x14ac:dyDescent="0.25">
      <c r="A31" t="s">
        <v>434</v>
      </c>
      <c r="B31" t="s">
        <v>426</v>
      </c>
      <c r="C31" t="s">
        <v>480</v>
      </c>
      <c r="D31" t="s">
        <v>481</v>
      </c>
      <c r="E31" t="s">
        <v>480</v>
      </c>
      <c r="F31" s="633">
        <v>5.6</v>
      </c>
      <c r="G31" s="634">
        <v>1.1759999999999999</v>
      </c>
      <c r="H31" s="634">
        <v>0</v>
      </c>
      <c r="I31" s="633">
        <v>6.7759999999999998</v>
      </c>
    </row>
    <row r="32" spans="1:9" ht="15" customHeight="1" x14ac:dyDescent="0.25">
      <c r="A32" t="s">
        <v>434</v>
      </c>
      <c r="B32" t="s">
        <v>426</v>
      </c>
      <c r="C32" t="s">
        <v>482</v>
      </c>
      <c r="D32" t="s">
        <v>483</v>
      </c>
      <c r="E32" t="s">
        <v>482</v>
      </c>
      <c r="F32" s="633">
        <v>6.15</v>
      </c>
      <c r="G32" s="634">
        <v>1.2915000000000001</v>
      </c>
      <c r="H32" s="634">
        <v>0</v>
      </c>
      <c r="I32" s="633">
        <v>7.4414999999999996</v>
      </c>
    </row>
    <row r="33" spans="1:9" ht="15" customHeight="1" x14ac:dyDescent="0.25">
      <c r="A33" t="s">
        <v>434</v>
      </c>
      <c r="B33" t="s">
        <v>426</v>
      </c>
      <c r="C33" t="s">
        <v>484</v>
      </c>
      <c r="D33" t="s">
        <v>485</v>
      </c>
      <c r="E33" t="s">
        <v>484</v>
      </c>
      <c r="F33" s="633">
        <v>3.95</v>
      </c>
      <c r="G33" s="634">
        <v>0.82950000000000002</v>
      </c>
      <c r="H33" s="634">
        <v>0</v>
      </c>
      <c r="I33" s="633">
        <v>4.7794999999999996</v>
      </c>
    </row>
    <row r="34" spans="1:9" ht="15" customHeight="1" x14ac:dyDescent="0.25">
      <c r="A34" t="s">
        <v>434</v>
      </c>
      <c r="B34" t="s">
        <v>426</v>
      </c>
      <c r="C34" t="s">
        <v>486</v>
      </c>
      <c r="D34" t="s">
        <v>487</v>
      </c>
      <c r="E34" t="s">
        <v>486</v>
      </c>
      <c r="F34" s="633">
        <v>4.0999999999999996</v>
      </c>
      <c r="G34" s="634">
        <v>0.86099999999999999</v>
      </c>
      <c r="H34" s="634">
        <v>0</v>
      </c>
      <c r="I34" s="633">
        <v>4.9610000000000003</v>
      </c>
    </row>
    <row r="35" spans="1:9" ht="15" customHeight="1" x14ac:dyDescent="0.25">
      <c r="A35" t="s">
        <v>434</v>
      </c>
      <c r="B35" t="s">
        <v>426</v>
      </c>
      <c r="C35" t="s">
        <v>488</v>
      </c>
      <c r="D35" t="s">
        <v>489</v>
      </c>
      <c r="E35" t="s">
        <v>488</v>
      </c>
      <c r="F35" s="633">
        <v>2.74</v>
      </c>
      <c r="G35" s="634">
        <v>0.57540000000000002</v>
      </c>
      <c r="H35" s="634">
        <v>0</v>
      </c>
      <c r="I35" s="633">
        <v>3.3153999999999999</v>
      </c>
    </row>
    <row r="36" spans="1:9" ht="15" customHeight="1" x14ac:dyDescent="0.25">
      <c r="A36" t="s">
        <v>434</v>
      </c>
      <c r="B36" t="s">
        <v>426</v>
      </c>
      <c r="C36" t="s">
        <v>490</v>
      </c>
      <c r="D36" t="s">
        <v>491</v>
      </c>
      <c r="E36" t="s">
        <v>490</v>
      </c>
      <c r="F36" s="633">
        <v>4.3</v>
      </c>
      <c r="G36" s="634">
        <v>0.90300000000000002</v>
      </c>
      <c r="H36" s="634">
        <v>0</v>
      </c>
      <c r="I36" s="633">
        <v>5.2030000000000003</v>
      </c>
    </row>
    <row r="37" spans="1:9" ht="15" customHeight="1" x14ac:dyDescent="0.25">
      <c r="A37" t="s">
        <v>434</v>
      </c>
      <c r="B37" t="s">
        <v>426</v>
      </c>
      <c r="C37" t="s">
        <v>492</v>
      </c>
      <c r="D37" t="s">
        <v>493</v>
      </c>
      <c r="E37" t="s">
        <v>492</v>
      </c>
      <c r="F37" s="633">
        <v>7.05</v>
      </c>
      <c r="G37" s="634">
        <v>1.4804999999999999</v>
      </c>
      <c r="H37" s="634">
        <v>0</v>
      </c>
      <c r="I37" s="633">
        <v>8.5305</v>
      </c>
    </row>
    <row r="38" spans="1:9" ht="15" customHeight="1" x14ac:dyDescent="0.25">
      <c r="A38" t="s">
        <v>434</v>
      </c>
      <c r="B38" t="s">
        <v>426</v>
      </c>
      <c r="C38" t="s">
        <v>494</v>
      </c>
      <c r="D38" t="s">
        <v>495</v>
      </c>
      <c r="E38" t="s">
        <v>494</v>
      </c>
      <c r="F38" s="633">
        <v>38</v>
      </c>
      <c r="G38" s="634">
        <v>7.98</v>
      </c>
      <c r="H38" s="634">
        <v>0</v>
      </c>
      <c r="I38" s="633">
        <v>45.98</v>
      </c>
    </row>
    <row r="39" spans="1:9" ht="15" customHeight="1" x14ac:dyDescent="0.25">
      <c r="A39" t="s">
        <v>434</v>
      </c>
      <c r="B39" t="s">
        <v>426</v>
      </c>
      <c r="C39" t="s">
        <v>496</v>
      </c>
      <c r="D39" t="s">
        <v>497</v>
      </c>
      <c r="E39" t="s">
        <v>496</v>
      </c>
      <c r="F39" s="633">
        <v>6.25</v>
      </c>
      <c r="G39" s="634">
        <v>1.3125</v>
      </c>
      <c r="H39" s="634">
        <v>0</v>
      </c>
      <c r="I39" s="633">
        <v>7.5625</v>
      </c>
    </row>
    <row r="40" spans="1:9" ht="15" customHeight="1" x14ac:dyDescent="0.25">
      <c r="A40" t="s">
        <v>434</v>
      </c>
      <c r="B40" t="s">
        <v>426</v>
      </c>
      <c r="C40" t="s">
        <v>498</v>
      </c>
      <c r="D40" t="s">
        <v>499</v>
      </c>
      <c r="E40" t="s">
        <v>498</v>
      </c>
      <c r="F40" s="633">
        <v>12</v>
      </c>
      <c r="G40" s="634">
        <v>2.52</v>
      </c>
      <c r="H40" s="634">
        <v>0</v>
      </c>
      <c r="I40" s="633">
        <v>14.52</v>
      </c>
    </row>
    <row r="41" spans="1:9" ht="15" customHeight="1" x14ac:dyDescent="0.25">
      <c r="A41" t="s">
        <v>434</v>
      </c>
      <c r="B41" t="s">
        <v>426</v>
      </c>
      <c r="C41" t="s">
        <v>500</v>
      </c>
      <c r="D41" t="s">
        <v>501</v>
      </c>
      <c r="E41" t="s">
        <v>500</v>
      </c>
      <c r="F41" s="633">
        <v>30</v>
      </c>
      <c r="G41" s="634">
        <v>6.3</v>
      </c>
      <c r="H41" s="634">
        <v>0</v>
      </c>
      <c r="I41" s="633">
        <v>36.299999999999997</v>
      </c>
    </row>
    <row r="42" spans="1:9" ht="15" customHeight="1" x14ac:dyDescent="0.25">
      <c r="A42" t="s">
        <v>434</v>
      </c>
      <c r="B42" t="s">
        <v>426</v>
      </c>
      <c r="C42" t="s">
        <v>502</v>
      </c>
      <c r="D42" t="s">
        <v>503</v>
      </c>
      <c r="E42" t="s">
        <v>502</v>
      </c>
      <c r="F42" s="633">
        <v>89</v>
      </c>
      <c r="G42" s="634">
        <v>18.690000000000001</v>
      </c>
      <c r="H42" s="634">
        <v>0</v>
      </c>
      <c r="I42" s="633">
        <v>107.69</v>
      </c>
    </row>
    <row r="43" spans="1:9" ht="15" customHeight="1" x14ac:dyDescent="0.25">
      <c r="A43" t="s">
        <v>434</v>
      </c>
      <c r="B43" t="s">
        <v>426</v>
      </c>
      <c r="C43" t="s">
        <v>504</v>
      </c>
      <c r="D43" t="s">
        <v>505</v>
      </c>
      <c r="E43" t="s">
        <v>504</v>
      </c>
      <c r="F43" s="633">
        <v>173.8</v>
      </c>
      <c r="G43" s="634">
        <v>36.497999999999998</v>
      </c>
      <c r="H43" s="634">
        <v>0</v>
      </c>
      <c r="I43" s="633">
        <v>210.298</v>
      </c>
    </row>
    <row r="44" spans="1:9" ht="15" customHeight="1" x14ac:dyDescent="0.25">
      <c r="A44" t="s">
        <v>434</v>
      </c>
      <c r="B44" t="s">
        <v>426</v>
      </c>
      <c r="C44" t="s">
        <v>506</v>
      </c>
      <c r="D44" t="s">
        <v>507</v>
      </c>
      <c r="E44" t="s">
        <v>506</v>
      </c>
      <c r="F44" s="633">
        <v>17.8</v>
      </c>
      <c r="G44" s="634">
        <v>3.738</v>
      </c>
      <c r="H44" s="634">
        <v>0</v>
      </c>
      <c r="I44" s="633">
        <v>21.538</v>
      </c>
    </row>
    <row r="45" spans="1:9" ht="15" customHeight="1" x14ac:dyDescent="0.25">
      <c r="A45" t="s">
        <v>434</v>
      </c>
      <c r="B45" t="s">
        <v>426</v>
      </c>
      <c r="C45" t="s">
        <v>508</v>
      </c>
      <c r="D45" t="s">
        <v>509</v>
      </c>
      <c r="E45" t="s">
        <v>508</v>
      </c>
      <c r="F45" s="633">
        <v>162.16</v>
      </c>
      <c r="G45" s="634">
        <v>34.053600000000003</v>
      </c>
      <c r="H45" s="634">
        <v>0</v>
      </c>
      <c r="I45" s="633">
        <v>196.21360000000001</v>
      </c>
    </row>
    <row r="46" spans="1:9" ht="15" customHeight="1" x14ac:dyDescent="0.25">
      <c r="A46" t="s">
        <v>434</v>
      </c>
      <c r="B46" t="s">
        <v>426</v>
      </c>
      <c r="C46" t="s">
        <v>510</v>
      </c>
      <c r="D46" t="s">
        <v>511</v>
      </c>
      <c r="E46" t="s">
        <v>510</v>
      </c>
      <c r="F46" s="633">
        <v>500</v>
      </c>
      <c r="G46" s="634">
        <v>105</v>
      </c>
      <c r="H46" s="634">
        <v>0</v>
      </c>
      <c r="I46" s="633">
        <v>605</v>
      </c>
    </row>
    <row r="47" spans="1:9" ht="15" customHeight="1" x14ac:dyDescent="0.25">
      <c r="A47" t="s">
        <v>434</v>
      </c>
      <c r="B47" t="s">
        <v>426</v>
      </c>
      <c r="C47" t="s">
        <v>32</v>
      </c>
      <c r="D47" t="s">
        <v>512</v>
      </c>
      <c r="E47" t="s">
        <v>32</v>
      </c>
      <c r="F47" s="633">
        <v>48</v>
      </c>
      <c r="G47" s="634">
        <v>10.08</v>
      </c>
      <c r="H47" s="634">
        <v>0</v>
      </c>
      <c r="I47" s="633">
        <v>58.08</v>
      </c>
    </row>
    <row r="48" spans="1:9" ht="15" customHeight="1" x14ac:dyDescent="0.25">
      <c r="A48" t="s">
        <v>434</v>
      </c>
      <c r="B48" t="s">
        <v>426</v>
      </c>
      <c r="C48" t="s">
        <v>513</v>
      </c>
      <c r="D48" t="s">
        <v>514</v>
      </c>
      <c r="E48" t="s">
        <v>513</v>
      </c>
      <c r="F48" s="633">
        <v>34.520000000000003</v>
      </c>
      <c r="G48" s="634">
        <v>7.2492000000000001</v>
      </c>
      <c r="H48" s="634">
        <v>0</v>
      </c>
      <c r="I48" s="633">
        <v>41.769199999999998</v>
      </c>
    </row>
    <row r="49" spans="1:9" ht="15" customHeight="1" x14ac:dyDescent="0.25">
      <c r="A49" t="s">
        <v>434</v>
      </c>
      <c r="B49" t="s">
        <v>426</v>
      </c>
      <c r="C49" t="s">
        <v>515</v>
      </c>
      <c r="D49" t="s">
        <v>516</v>
      </c>
      <c r="E49" t="s">
        <v>515</v>
      </c>
      <c r="F49" s="633">
        <v>62.5</v>
      </c>
      <c r="G49" s="634">
        <v>13.125</v>
      </c>
      <c r="H49" s="634">
        <v>0</v>
      </c>
      <c r="I49" s="633">
        <v>75.625</v>
      </c>
    </row>
    <row r="50" spans="1:9" ht="15" customHeight="1" x14ac:dyDescent="0.25">
      <c r="A50" t="s">
        <v>434</v>
      </c>
      <c r="B50" t="s">
        <v>426</v>
      </c>
      <c r="C50" t="s">
        <v>517</v>
      </c>
      <c r="D50" t="s">
        <v>518</v>
      </c>
      <c r="E50" t="s">
        <v>517</v>
      </c>
      <c r="F50" s="633">
        <v>12.5</v>
      </c>
      <c r="G50" s="634">
        <v>2.625</v>
      </c>
      <c r="H50" s="634">
        <v>0</v>
      </c>
      <c r="I50" s="633">
        <v>15.125</v>
      </c>
    </row>
    <row r="51" spans="1:9" ht="15" customHeight="1" x14ac:dyDescent="0.25">
      <c r="A51" t="s">
        <v>434</v>
      </c>
      <c r="B51" t="s">
        <v>426</v>
      </c>
      <c r="C51" t="s">
        <v>519</v>
      </c>
      <c r="D51" t="s">
        <v>520</v>
      </c>
      <c r="E51" t="s">
        <v>519</v>
      </c>
      <c r="F51" s="633">
        <v>14.7</v>
      </c>
      <c r="G51" s="634">
        <v>3.0870000000000002</v>
      </c>
      <c r="H51" s="634">
        <v>0</v>
      </c>
      <c r="I51" s="633">
        <v>17.786999999999999</v>
      </c>
    </row>
    <row r="52" spans="1:9" ht="15" customHeight="1" x14ac:dyDescent="0.25">
      <c r="A52" t="s">
        <v>434</v>
      </c>
      <c r="B52" t="s">
        <v>426</v>
      </c>
      <c r="C52" t="s">
        <v>521</v>
      </c>
      <c r="D52" t="s">
        <v>522</v>
      </c>
      <c r="E52" t="s">
        <v>521</v>
      </c>
      <c r="F52" s="633">
        <v>21.5</v>
      </c>
      <c r="G52" s="634">
        <v>4.5149999999999997</v>
      </c>
      <c r="H52" s="634">
        <v>0</v>
      </c>
      <c r="I52" s="633">
        <v>26.015000000000001</v>
      </c>
    </row>
    <row r="53" spans="1:9" ht="15" customHeight="1" x14ac:dyDescent="0.25">
      <c r="A53" t="s">
        <v>434</v>
      </c>
      <c r="B53" t="s">
        <v>426</v>
      </c>
      <c r="C53" t="s">
        <v>523</v>
      </c>
      <c r="D53" t="s">
        <v>524</v>
      </c>
      <c r="E53" t="s">
        <v>523</v>
      </c>
      <c r="F53" s="633">
        <v>135</v>
      </c>
      <c r="G53" s="634">
        <v>28.35</v>
      </c>
      <c r="H53" s="634">
        <v>0</v>
      </c>
      <c r="I53" s="633">
        <v>163.35</v>
      </c>
    </row>
    <row r="54" spans="1:9" ht="15" customHeight="1" x14ac:dyDescent="0.25">
      <c r="A54" t="s">
        <v>434</v>
      </c>
      <c r="B54" t="s">
        <v>426</v>
      </c>
      <c r="C54" t="s">
        <v>525</v>
      </c>
      <c r="D54" t="s">
        <v>526</v>
      </c>
      <c r="E54" t="s">
        <v>525</v>
      </c>
      <c r="F54" s="633">
        <v>48</v>
      </c>
      <c r="G54" s="634">
        <v>10.08</v>
      </c>
      <c r="H54" s="634">
        <v>0</v>
      </c>
      <c r="I54" s="633">
        <v>58.08</v>
      </c>
    </row>
    <row r="55" spans="1:9" ht="15" customHeight="1" x14ac:dyDescent="0.25">
      <c r="A55" t="s">
        <v>434</v>
      </c>
      <c r="B55" t="s">
        <v>426</v>
      </c>
      <c r="C55" t="s">
        <v>527</v>
      </c>
      <c r="D55" t="s">
        <v>528</v>
      </c>
      <c r="E55" t="s">
        <v>527</v>
      </c>
      <c r="F55" s="633">
        <v>10.07</v>
      </c>
      <c r="G55" s="634">
        <v>2.1147</v>
      </c>
      <c r="H55" s="634">
        <v>0</v>
      </c>
      <c r="I55" s="633">
        <v>12.184699999999999</v>
      </c>
    </row>
    <row r="56" spans="1:9" ht="15" customHeight="1" x14ac:dyDescent="0.25">
      <c r="A56" t="s">
        <v>434</v>
      </c>
      <c r="B56" t="s">
        <v>426</v>
      </c>
      <c r="C56" t="s">
        <v>529</v>
      </c>
      <c r="D56" t="s">
        <v>530</v>
      </c>
      <c r="E56" t="s">
        <v>529</v>
      </c>
      <c r="F56" s="633">
        <v>15.8</v>
      </c>
      <c r="G56" s="634">
        <v>3.3180000000000001</v>
      </c>
      <c r="H56" s="634">
        <v>0</v>
      </c>
      <c r="I56" s="633">
        <v>19.117999999999999</v>
      </c>
    </row>
    <row r="57" spans="1:9" ht="15" customHeight="1" x14ac:dyDescent="0.25">
      <c r="A57" t="s">
        <v>434</v>
      </c>
      <c r="B57" t="s">
        <v>426</v>
      </c>
      <c r="C57" t="s">
        <v>531</v>
      </c>
      <c r="D57" t="s">
        <v>532</v>
      </c>
      <c r="E57" t="s">
        <v>531</v>
      </c>
      <c r="F57" s="633">
        <v>265</v>
      </c>
      <c r="G57" s="634">
        <v>55.65</v>
      </c>
      <c r="H57" s="634">
        <v>0</v>
      </c>
      <c r="I57" s="633">
        <v>320.64999999999998</v>
      </c>
    </row>
    <row r="58" spans="1:9" ht="15" customHeight="1" x14ac:dyDescent="0.25">
      <c r="A58" t="s">
        <v>434</v>
      </c>
      <c r="B58" t="s">
        <v>426</v>
      </c>
      <c r="C58" t="s">
        <v>533</v>
      </c>
      <c r="D58" t="s">
        <v>534</v>
      </c>
      <c r="E58" t="s">
        <v>533</v>
      </c>
      <c r="F58" s="633">
        <v>35</v>
      </c>
      <c r="G58" s="634">
        <v>7.35</v>
      </c>
      <c r="H58" s="634">
        <v>0</v>
      </c>
      <c r="I58" s="633">
        <v>42.35</v>
      </c>
    </row>
    <row r="59" spans="1:9" ht="15" customHeight="1" x14ac:dyDescent="0.25">
      <c r="A59" t="s">
        <v>434</v>
      </c>
      <c r="B59" t="s">
        <v>426</v>
      </c>
      <c r="C59" t="s">
        <v>535</v>
      </c>
      <c r="D59" t="s">
        <v>536</v>
      </c>
      <c r="E59" t="s">
        <v>535</v>
      </c>
      <c r="F59" s="633">
        <v>8</v>
      </c>
      <c r="G59" s="634">
        <v>1.68</v>
      </c>
      <c r="H59" s="634">
        <v>0</v>
      </c>
      <c r="I59" s="633">
        <v>9.68</v>
      </c>
    </row>
    <row r="60" spans="1:9" ht="15" customHeight="1" x14ac:dyDescent="0.25">
      <c r="A60" t="s">
        <v>434</v>
      </c>
      <c r="B60" t="s">
        <v>426</v>
      </c>
      <c r="C60" t="s">
        <v>537</v>
      </c>
      <c r="D60" t="s">
        <v>538</v>
      </c>
      <c r="E60" t="s">
        <v>537</v>
      </c>
      <c r="F60" s="633">
        <v>13.5</v>
      </c>
      <c r="G60" s="634">
        <v>2.835</v>
      </c>
      <c r="H60" s="634">
        <v>0</v>
      </c>
      <c r="I60" s="633">
        <v>16.335000000000001</v>
      </c>
    </row>
    <row r="61" spans="1:9" ht="15" customHeight="1" x14ac:dyDescent="0.25">
      <c r="A61" t="s">
        <v>434</v>
      </c>
      <c r="B61" t="s">
        <v>426</v>
      </c>
      <c r="C61" t="s">
        <v>539</v>
      </c>
      <c r="D61" t="s">
        <v>540</v>
      </c>
      <c r="E61" t="s">
        <v>539</v>
      </c>
      <c r="F61" s="633">
        <v>24.7</v>
      </c>
      <c r="G61" s="634">
        <v>5.1870000000000003</v>
      </c>
      <c r="H61" s="634">
        <v>0</v>
      </c>
      <c r="I61" s="633">
        <v>29.887</v>
      </c>
    </row>
    <row r="62" spans="1:9" ht="15" customHeight="1" x14ac:dyDescent="0.25">
      <c r="A62" t="s">
        <v>434</v>
      </c>
      <c r="B62" t="s">
        <v>426</v>
      </c>
      <c r="C62" t="s">
        <v>541</v>
      </c>
      <c r="D62" t="s">
        <v>542</v>
      </c>
      <c r="E62" t="s">
        <v>541</v>
      </c>
      <c r="F62" s="633">
        <v>198</v>
      </c>
      <c r="G62" s="634">
        <v>41.58</v>
      </c>
      <c r="H62" s="634">
        <v>0</v>
      </c>
      <c r="I62" s="633">
        <v>239.58</v>
      </c>
    </row>
    <row r="63" spans="1:9" ht="15" customHeight="1" x14ac:dyDescent="0.25">
      <c r="A63" t="s">
        <v>434</v>
      </c>
      <c r="B63" t="s">
        <v>426</v>
      </c>
      <c r="C63" t="s">
        <v>543</v>
      </c>
      <c r="D63" t="s">
        <v>544</v>
      </c>
      <c r="E63" t="s">
        <v>543</v>
      </c>
      <c r="F63" s="633">
        <v>495</v>
      </c>
      <c r="G63" s="634">
        <v>103.95</v>
      </c>
      <c r="H63" s="634">
        <v>0</v>
      </c>
      <c r="I63" s="633">
        <v>598.95000000000005</v>
      </c>
    </row>
    <row r="64" spans="1:9" ht="15" customHeight="1" x14ac:dyDescent="0.25">
      <c r="A64" t="s">
        <v>434</v>
      </c>
      <c r="B64" t="s">
        <v>426</v>
      </c>
      <c r="C64" t="s">
        <v>545</v>
      </c>
      <c r="D64" t="s">
        <v>546</v>
      </c>
      <c r="E64" t="s">
        <v>545</v>
      </c>
      <c r="F64" s="633">
        <v>31.5</v>
      </c>
      <c r="G64" s="634">
        <v>6.6150000000000002</v>
      </c>
      <c r="H64" s="634">
        <v>0</v>
      </c>
      <c r="I64" s="633">
        <v>38.115000000000002</v>
      </c>
    </row>
    <row r="65" spans="1:9" ht="15" customHeight="1" x14ac:dyDescent="0.25">
      <c r="A65" t="s">
        <v>434</v>
      </c>
      <c r="B65" t="s">
        <v>426</v>
      </c>
      <c r="C65" t="s">
        <v>547</v>
      </c>
      <c r="D65" t="s">
        <v>548</v>
      </c>
      <c r="E65" t="s">
        <v>547</v>
      </c>
      <c r="F65" s="633">
        <v>19</v>
      </c>
      <c r="G65" s="634">
        <v>3.99</v>
      </c>
      <c r="H65" s="634">
        <v>0</v>
      </c>
      <c r="I65" s="633">
        <v>22.99</v>
      </c>
    </row>
    <row r="66" spans="1:9" ht="15" customHeight="1" x14ac:dyDescent="0.25">
      <c r="A66" t="s">
        <v>434</v>
      </c>
      <c r="B66" t="s">
        <v>426</v>
      </c>
      <c r="C66" t="s">
        <v>549</v>
      </c>
      <c r="D66" t="s">
        <v>550</v>
      </c>
      <c r="E66" t="s">
        <v>549</v>
      </c>
      <c r="F66" s="633">
        <v>36.5</v>
      </c>
      <c r="G66" s="634">
        <v>7.665</v>
      </c>
      <c r="H66" s="634">
        <v>0</v>
      </c>
      <c r="I66" s="633">
        <v>44.164999999999999</v>
      </c>
    </row>
    <row r="67" spans="1:9" ht="15" customHeight="1" x14ac:dyDescent="0.25">
      <c r="A67" t="s">
        <v>434</v>
      </c>
      <c r="B67" t="s">
        <v>426</v>
      </c>
      <c r="C67" t="s">
        <v>551</v>
      </c>
      <c r="D67" t="s">
        <v>552</v>
      </c>
      <c r="E67" t="s">
        <v>551</v>
      </c>
      <c r="F67" s="633">
        <v>25</v>
      </c>
      <c r="G67" s="634">
        <v>5.25</v>
      </c>
      <c r="H67" s="634">
        <v>0</v>
      </c>
      <c r="I67" s="633">
        <v>30.25</v>
      </c>
    </row>
    <row r="68" spans="1:9" ht="15" customHeight="1" x14ac:dyDescent="0.25">
      <c r="A68" t="s">
        <v>434</v>
      </c>
      <c r="B68" t="s">
        <v>426</v>
      </c>
      <c r="C68" t="s">
        <v>553</v>
      </c>
      <c r="D68" t="s">
        <v>554</v>
      </c>
      <c r="E68" t="s">
        <v>553</v>
      </c>
      <c r="F68" s="633">
        <v>124.2</v>
      </c>
      <c r="G68" s="634">
        <v>26.082000000000001</v>
      </c>
      <c r="H68" s="634">
        <v>0</v>
      </c>
      <c r="I68" s="633">
        <v>150.28200000000001</v>
      </c>
    </row>
    <row r="69" spans="1:9" ht="15" customHeight="1" x14ac:dyDescent="0.25">
      <c r="A69" t="s">
        <v>434</v>
      </c>
      <c r="B69" t="s">
        <v>426</v>
      </c>
      <c r="C69" t="s">
        <v>555</v>
      </c>
      <c r="D69" t="s">
        <v>556</v>
      </c>
      <c r="E69" t="s">
        <v>555</v>
      </c>
      <c r="F69" s="633">
        <v>450</v>
      </c>
      <c r="G69" s="634">
        <v>94.5</v>
      </c>
      <c r="H69" s="634">
        <v>0</v>
      </c>
      <c r="I69" s="633">
        <v>544.5</v>
      </c>
    </row>
    <row r="70" spans="1:9" ht="15" customHeight="1" x14ac:dyDescent="0.25">
      <c r="A70" t="s">
        <v>434</v>
      </c>
      <c r="B70" t="s">
        <v>426</v>
      </c>
      <c r="C70" t="s">
        <v>557</v>
      </c>
      <c r="D70" t="s">
        <v>558</v>
      </c>
      <c r="E70" t="s">
        <v>557</v>
      </c>
      <c r="F70" s="633">
        <v>57</v>
      </c>
      <c r="G70" s="634">
        <v>11.97</v>
      </c>
      <c r="H70" s="634">
        <v>0</v>
      </c>
      <c r="I70" s="633">
        <v>68.97</v>
      </c>
    </row>
    <row r="71" spans="1:9" ht="15" customHeight="1" x14ac:dyDescent="0.25">
      <c r="A71" t="s">
        <v>434</v>
      </c>
      <c r="B71" t="s">
        <v>426</v>
      </c>
      <c r="C71" t="s">
        <v>559</v>
      </c>
      <c r="D71" t="s">
        <v>560</v>
      </c>
      <c r="E71" t="s">
        <v>559</v>
      </c>
      <c r="F71" s="633">
        <v>87.5</v>
      </c>
      <c r="G71" s="634">
        <v>18.375</v>
      </c>
      <c r="H71" s="634">
        <v>0</v>
      </c>
      <c r="I71" s="633">
        <v>105.875</v>
      </c>
    </row>
    <row r="72" spans="1:9" ht="15" customHeight="1" x14ac:dyDescent="0.25">
      <c r="A72" t="s">
        <v>434</v>
      </c>
      <c r="B72" t="s">
        <v>426</v>
      </c>
      <c r="C72" t="s">
        <v>561</v>
      </c>
      <c r="D72" t="s">
        <v>562</v>
      </c>
      <c r="E72" t="s">
        <v>561</v>
      </c>
      <c r="F72" s="633">
        <v>90</v>
      </c>
      <c r="G72" s="634">
        <v>18.899999999999999</v>
      </c>
      <c r="H72" s="634">
        <v>0</v>
      </c>
      <c r="I72" s="633">
        <v>108.9</v>
      </c>
    </row>
    <row r="73" spans="1:9" ht="15" customHeight="1" x14ac:dyDescent="0.25">
      <c r="A73" t="s">
        <v>434</v>
      </c>
      <c r="B73" t="s">
        <v>426</v>
      </c>
      <c r="C73" t="s">
        <v>22</v>
      </c>
      <c r="D73" t="s">
        <v>563</v>
      </c>
      <c r="E73" t="s">
        <v>22</v>
      </c>
      <c r="F73" s="633">
        <v>8.9</v>
      </c>
      <c r="G73" s="634">
        <v>1.869</v>
      </c>
      <c r="H73" s="634">
        <v>0</v>
      </c>
      <c r="I73" s="633">
        <v>10.769</v>
      </c>
    </row>
    <row r="74" spans="1:9" ht="15" customHeight="1" x14ac:dyDescent="0.25">
      <c r="A74" t="s">
        <v>434</v>
      </c>
      <c r="B74" t="s">
        <v>426</v>
      </c>
      <c r="C74" t="s">
        <v>564</v>
      </c>
      <c r="D74" t="s">
        <v>565</v>
      </c>
      <c r="E74" t="s">
        <v>564</v>
      </c>
      <c r="F74" s="633">
        <v>8.4</v>
      </c>
      <c r="G74" s="634">
        <v>1.764</v>
      </c>
      <c r="H74" s="634">
        <v>0</v>
      </c>
      <c r="I74" s="633">
        <v>10.164</v>
      </c>
    </row>
    <row r="75" spans="1:9" ht="15" customHeight="1" x14ac:dyDescent="0.25">
      <c r="A75" t="s">
        <v>434</v>
      </c>
      <c r="B75" t="s">
        <v>426</v>
      </c>
      <c r="C75" t="s">
        <v>566</v>
      </c>
      <c r="D75" t="s">
        <v>567</v>
      </c>
      <c r="E75" t="s">
        <v>566</v>
      </c>
      <c r="F75" s="633">
        <v>5.5</v>
      </c>
      <c r="G75" s="634">
        <v>1.155</v>
      </c>
      <c r="H75" s="634">
        <v>0</v>
      </c>
      <c r="I75" s="633">
        <v>6.6550000000000002</v>
      </c>
    </row>
    <row r="76" spans="1:9" ht="15" customHeight="1" x14ac:dyDescent="0.25">
      <c r="A76" t="s">
        <v>434</v>
      </c>
      <c r="B76" t="s">
        <v>426</v>
      </c>
      <c r="C76" t="s">
        <v>568</v>
      </c>
      <c r="D76" t="s">
        <v>569</v>
      </c>
      <c r="E76" t="s">
        <v>568</v>
      </c>
      <c r="F76" s="633">
        <v>4</v>
      </c>
      <c r="G76" s="634">
        <v>0.84</v>
      </c>
      <c r="H76" s="634">
        <v>0</v>
      </c>
      <c r="I76" s="633">
        <v>4.84</v>
      </c>
    </row>
    <row r="77" spans="1:9" ht="15" customHeight="1" x14ac:dyDescent="0.25">
      <c r="A77" t="s">
        <v>434</v>
      </c>
      <c r="B77" t="s">
        <v>426</v>
      </c>
      <c r="C77" t="s">
        <v>570</v>
      </c>
      <c r="D77" t="s">
        <v>571</v>
      </c>
      <c r="E77" t="s">
        <v>570</v>
      </c>
      <c r="F77" s="633">
        <v>600</v>
      </c>
      <c r="G77" s="634">
        <v>126</v>
      </c>
      <c r="H77" s="634">
        <v>0</v>
      </c>
      <c r="I77" s="633">
        <v>726</v>
      </c>
    </row>
    <row r="78" spans="1:9" ht="15" customHeight="1" x14ac:dyDescent="0.25">
      <c r="A78" t="s">
        <v>434</v>
      </c>
      <c r="B78" t="s">
        <v>426</v>
      </c>
      <c r="C78" t="s">
        <v>572</v>
      </c>
      <c r="D78" t="s">
        <v>573</v>
      </c>
      <c r="E78" t="s">
        <v>572</v>
      </c>
      <c r="F78" s="633">
        <v>24.5</v>
      </c>
      <c r="G78" s="634">
        <v>5.1449999999999996</v>
      </c>
      <c r="H78" s="634">
        <v>0</v>
      </c>
      <c r="I78" s="633">
        <v>29.645</v>
      </c>
    </row>
    <row r="79" spans="1:9" ht="15" customHeight="1" x14ac:dyDescent="0.25">
      <c r="A79" t="s">
        <v>434</v>
      </c>
      <c r="B79" t="s">
        <v>426</v>
      </c>
      <c r="C79" t="s">
        <v>574</v>
      </c>
      <c r="D79" t="s">
        <v>575</v>
      </c>
      <c r="E79" t="s">
        <v>574</v>
      </c>
      <c r="F79" s="633">
        <v>16.600000000000001</v>
      </c>
      <c r="G79" s="634">
        <v>3.4860000000000002</v>
      </c>
      <c r="H79" s="634">
        <v>0</v>
      </c>
      <c r="I79" s="633">
        <v>20.085999999999999</v>
      </c>
    </row>
    <row r="80" spans="1:9" ht="15" customHeight="1" x14ac:dyDescent="0.25">
      <c r="A80" t="s">
        <v>434</v>
      </c>
      <c r="B80" t="s">
        <v>426</v>
      </c>
      <c r="C80" t="s">
        <v>576</v>
      </c>
      <c r="D80" t="s">
        <v>577</v>
      </c>
      <c r="E80" t="s">
        <v>576</v>
      </c>
      <c r="F80" s="633">
        <v>9.6999999999999993</v>
      </c>
      <c r="G80" s="634">
        <v>2.0369999999999999</v>
      </c>
      <c r="H80" s="634">
        <v>0</v>
      </c>
      <c r="I80" s="633">
        <v>11.737</v>
      </c>
    </row>
    <row r="81" spans="1:9" ht="15" customHeight="1" x14ac:dyDescent="0.25">
      <c r="A81" t="s">
        <v>434</v>
      </c>
      <c r="B81" t="s">
        <v>426</v>
      </c>
      <c r="C81" t="s">
        <v>578</v>
      </c>
      <c r="D81" t="s">
        <v>579</v>
      </c>
      <c r="E81" t="s">
        <v>578</v>
      </c>
      <c r="F81" s="633">
        <v>32.200000000000003</v>
      </c>
      <c r="G81" s="634">
        <v>6.7619999999999996</v>
      </c>
      <c r="H81" s="634">
        <v>0</v>
      </c>
      <c r="I81" s="633">
        <v>38.962000000000003</v>
      </c>
    </row>
    <row r="82" spans="1:9" ht="15" customHeight="1" x14ac:dyDescent="0.25">
      <c r="A82" t="s">
        <v>434</v>
      </c>
      <c r="B82" t="s">
        <v>426</v>
      </c>
      <c r="C82" t="s">
        <v>580</v>
      </c>
      <c r="D82" t="s">
        <v>581</v>
      </c>
      <c r="E82" t="s">
        <v>580</v>
      </c>
      <c r="F82" s="633">
        <v>7.3</v>
      </c>
      <c r="G82" s="634">
        <v>1.5329999999999999</v>
      </c>
      <c r="H82" s="634">
        <v>0</v>
      </c>
      <c r="I82" s="633">
        <v>8.8330000000000002</v>
      </c>
    </row>
    <row r="83" spans="1:9" ht="15" customHeight="1" x14ac:dyDescent="0.25">
      <c r="A83" t="s">
        <v>434</v>
      </c>
      <c r="B83" t="s">
        <v>426</v>
      </c>
      <c r="C83" t="s">
        <v>582</v>
      </c>
      <c r="D83" t="s">
        <v>583</v>
      </c>
      <c r="E83" t="s">
        <v>582</v>
      </c>
      <c r="F83" s="633">
        <v>4.3499999999999996</v>
      </c>
      <c r="G83" s="634">
        <v>0.91349999999999998</v>
      </c>
      <c r="H83" s="634">
        <v>0</v>
      </c>
      <c r="I83" s="633">
        <v>5.2634999999999996</v>
      </c>
    </row>
    <row r="84" spans="1:9" ht="15" customHeight="1" x14ac:dyDescent="0.25">
      <c r="A84" t="s">
        <v>434</v>
      </c>
      <c r="B84" t="s">
        <v>426</v>
      </c>
      <c r="C84" t="s">
        <v>584</v>
      </c>
      <c r="D84" t="s">
        <v>585</v>
      </c>
      <c r="E84" t="s">
        <v>584</v>
      </c>
      <c r="F84" s="633">
        <v>5.4</v>
      </c>
      <c r="G84" s="634">
        <v>1.1339999999999999</v>
      </c>
      <c r="H84" s="634">
        <v>0</v>
      </c>
      <c r="I84" s="633">
        <v>6.5339999999999998</v>
      </c>
    </row>
    <row r="85" spans="1:9" ht="15" customHeight="1" x14ac:dyDescent="0.25">
      <c r="A85" t="s">
        <v>434</v>
      </c>
      <c r="B85" t="s">
        <v>426</v>
      </c>
      <c r="C85" t="s">
        <v>586</v>
      </c>
      <c r="D85" t="s">
        <v>587</v>
      </c>
      <c r="E85" t="s">
        <v>586</v>
      </c>
      <c r="F85" s="633">
        <v>4.5</v>
      </c>
      <c r="G85" s="634">
        <v>0.94499999999999995</v>
      </c>
      <c r="H85" s="634">
        <v>0</v>
      </c>
      <c r="I85" s="633">
        <v>5.4450000000000003</v>
      </c>
    </row>
    <row r="86" spans="1:9" ht="15" customHeight="1" x14ac:dyDescent="0.25">
      <c r="A86" t="s">
        <v>434</v>
      </c>
      <c r="B86" t="s">
        <v>426</v>
      </c>
      <c r="C86" t="s">
        <v>588</v>
      </c>
      <c r="D86" t="s">
        <v>589</v>
      </c>
      <c r="E86" t="s">
        <v>588</v>
      </c>
      <c r="F86" s="633">
        <v>16.5</v>
      </c>
      <c r="G86" s="634">
        <v>3.4649999999999999</v>
      </c>
      <c r="H86" s="634">
        <v>0</v>
      </c>
      <c r="I86" s="633">
        <v>19.965</v>
      </c>
    </row>
    <row r="87" spans="1:9" ht="15" customHeight="1" x14ac:dyDescent="0.25">
      <c r="A87" t="s">
        <v>434</v>
      </c>
      <c r="B87" t="s">
        <v>426</v>
      </c>
      <c r="C87" t="s">
        <v>590</v>
      </c>
      <c r="D87" t="s">
        <v>591</v>
      </c>
      <c r="E87" t="s">
        <v>590</v>
      </c>
      <c r="F87" s="633">
        <v>4.2</v>
      </c>
      <c r="G87" s="634">
        <v>0.88200000000000001</v>
      </c>
      <c r="H87" s="634">
        <v>0</v>
      </c>
      <c r="I87" s="633">
        <v>5.0819999999999999</v>
      </c>
    </row>
    <row r="88" spans="1:9" ht="15" customHeight="1" x14ac:dyDescent="0.25">
      <c r="A88" t="s">
        <v>434</v>
      </c>
      <c r="B88" t="s">
        <v>426</v>
      </c>
      <c r="C88" t="s">
        <v>592</v>
      </c>
      <c r="D88" t="s">
        <v>593</v>
      </c>
      <c r="E88" t="s">
        <v>592</v>
      </c>
      <c r="F88" s="633">
        <v>4.2</v>
      </c>
      <c r="G88" s="634">
        <v>0.88200000000000001</v>
      </c>
      <c r="H88" s="634">
        <v>0</v>
      </c>
      <c r="I88" s="633">
        <v>5.0819999999999999</v>
      </c>
    </row>
    <row r="89" spans="1:9" ht="15" customHeight="1" x14ac:dyDescent="0.25">
      <c r="A89" t="s">
        <v>434</v>
      </c>
      <c r="B89" t="s">
        <v>426</v>
      </c>
      <c r="C89" t="s">
        <v>33</v>
      </c>
      <c r="D89" t="s">
        <v>594</v>
      </c>
      <c r="E89" t="s">
        <v>33</v>
      </c>
      <c r="F89" s="633">
        <v>106</v>
      </c>
      <c r="G89" s="634">
        <v>22.26</v>
      </c>
      <c r="H89" s="634">
        <v>0</v>
      </c>
      <c r="I89" s="633">
        <v>128.26</v>
      </c>
    </row>
    <row r="90" spans="1:9" ht="15" customHeight="1" x14ac:dyDescent="0.25">
      <c r="A90" t="s">
        <v>434</v>
      </c>
      <c r="B90" t="s">
        <v>426</v>
      </c>
      <c r="C90" t="s">
        <v>595</v>
      </c>
      <c r="D90" t="s">
        <v>596</v>
      </c>
      <c r="E90" t="s">
        <v>595</v>
      </c>
      <c r="F90" s="633">
        <v>5.5</v>
      </c>
      <c r="G90" s="634">
        <v>1.155</v>
      </c>
      <c r="H90" s="634">
        <v>0</v>
      </c>
      <c r="I90" s="633">
        <v>6.6550000000000002</v>
      </c>
    </row>
    <row r="91" spans="1:9" ht="15" customHeight="1" x14ac:dyDescent="0.25">
      <c r="A91" t="s">
        <v>434</v>
      </c>
      <c r="B91" t="s">
        <v>426</v>
      </c>
      <c r="C91" t="s">
        <v>597</v>
      </c>
      <c r="D91" t="s">
        <v>598</v>
      </c>
      <c r="E91" t="s">
        <v>597</v>
      </c>
      <c r="F91" s="633">
        <v>20.149999999999999</v>
      </c>
      <c r="G91" s="634">
        <v>4.2314999999999996</v>
      </c>
      <c r="H91" s="634">
        <v>0</v>
      </c>
      <c r="I91" s="633">
        <v>24.381499999999999</v>
      </c>
    </row>
    <row r="92" spans="1:9" ht="15" customHeight="1" x14ac:dyDescent="0.25">
      <c r="A92" t="s">
        <v>434</v>
      </c>
      <c r="B92" t="s">
        <v>426</v>
      </c>
      <c r="C92" t="s">
        <v>599</v>
      </c>
      <c r="D92" t="s">
        <v>600</v>
      </c>
      <c r="E92" t="s">
        <v>599</v>
      </c>
      <c r="F92" s="633">
        <v>38</v>
      </c>
      <c r="G92" s="634">
        <v>7.98</v>
      </c>
      <c r="H92" s="634">
        <v>0</v>
      </c>
      <c r="I92" s="633">
        <v>45.98</v>
      </c>
    </row>
    <row r="93" spans="1:9" ht="15" customHeight="1" x14ac:dyDescent="0.25">
      <c r="A93" t="s">
        <v>434</v>
      </c>
      <c r="B93" t="s">
        <v>426</v>
      </c>
      <c r="C93" t="s">
        <v>601</v>
      </c>
      <c r="D93" t="s">
        <v>602</v>
      </c>
      <c r="E93" t="s">
        <v>601</v>
      </c>
      <c r="F93" s="633">
        <v>6.75</v>
      </c>
      <c r="G93" s="634">
        <v>1.4175</v>
      </c>
      <c r="H93" s="634">
        <v>0</v>
      </c>
      <c r="I93" s="633">
        <v>8.1675000000000004</v>
      </c>
    </row>
    <row r="94" spans="1:9" ht="15" customHeight="1" x14ac:dyDescent="0.25">
      <c r="A94" t="s">
        <v>434</v>
      </c>
      <c r="B94" t="s">
        <v>426</v>
      </c>
      <c r="C94" t="s">
        <v>603</v>
      </c>
      <c r="D94" t="s">
        <v>604</v>
      </c>
      <c r="E94" t="s">
        <v>603</v>
      </c>
      <c r="F94" s="633">
        <v>6.8</v>
      </c>
      <c r="G94" s="634">
        <v>1.4279999999999999</v>
      </c>
      <c r="H94" s="634">
        <v>0</v>
      </c>
      <c r="I94" s="633">
        <v>8.2279999999999998</v>
      </c>
    </row>
    <row r="95" spans="1:9" ht="15" customHeight="1" x14ac:dyDescent="0.25">
      <c r="A95" t="s">
        <v>605</v>
      </c>
      <c r="B95" t="s">
        <v>426</v>
      </c>
      <c r="C95" t="s">
        <v>606</v>
      </c>
      <c r="D95" t="s">
        <v>607</v>
      </c>
      <c r="E95" t="s">
        <v>606</v>
      </c>
      <c r="F95" s="633">
        <v>8.5</v>
      </c>
      <c r="G95" s="634">
        <v>1.7849999999999999</v>
      </c>
      <c r="H95" s="634">
        <v>0</v>
      </c>
      <c r="I95" s="633">
        <v>10.285</v>
      </c>
    </row>
    <row r="96" spans="1:9" ht="15" customHeight="1" x14ac:dyDescent="0.25">
      <c r="A96" t="s">
        <v>605</v>
      </c>
      <c r="B96" t="s">
        <v>426</v>
      </c>
      <c r="C96" t="s">
        <v>608</v>
      </c>
      <c r="D96" t="s">
        <v>609</v>
      </c>
      <c r="E96" t="s">
        <v>608</v>
      </c>
      <c r="F96" s="633">
        <v>45</v>
      </c>
      <c r="G96" s="634">
        <v>9.4499999999999993</v>
      </c>
      <c r="H96" s="634">
        <v>0</v>
      </c>
      <c r="I96" s="633">
        <v>54.45</v>
      </c>
    </row>
    <row r="97" spans="1:9" ht="15" customHeight="1" x14ac:dyDescent="0.25">
      <c r="A97" t="s">
        <v>605</v>
      </c>
      <c r="B97" t="s">
        <v>426</v>
      </c>
      <c r="C97" t="s">
        <v>610</v>
      </c>
      <c r="D97" t="s">
        <v>611</v>
      </c>
      <c r="E97" t="s">
        <v>610</v>
      </c>
      <c r="F97" s="633">
        <v>45.5</v>
      </c>
      <c r="G97" s="634">
        <v>9.5549999999999997</v>
      </c>
      <c r="H97" s="634">
        <v>0</v>
      </c>
      <c r="I97" s="633">
        <v>55.055</v>
      </c>
    </row>
    <row r="98" spans="1:9" ht="15" customHeight="1" x14ac:dyDescent="0.25">
      <c r="A98" t="s">
        <v>605</v>
      </c>
      <c r="B98" t="s">
        <v>426</v>
      </c>
      <c r="C98" t="s">
        <v>612</v>
      </c>
      <c r="D98" t="s">
        <v>613</v>
      </c>
      <c r="E98" t="s">
        <v>612</v>
      </c>
      <c r="F98" s="633">
        <v>47.5</v>
      </c>
      <c r="G98" s="634">
        <v>9.9749999999999996</v>
      </c>
      <c r="H98" s="634">
        <v>0</v>
      </c>
      <c r="I98" s="633">
        <v>57.475000000000001</v>
      </c>
    </row>
    <row r="99" spans="1:9" ht="15" customHeight="1" x14ac:dyDescent="0.25">
      <c r="A99" t="s">
        <v>605</v>
      </c>
      <c r="B99" t="s">
        <v>426</v>
      </c>
      <c r="C99" t="s">
        <v>614</v>
      </c>
      <c r="D99" t="s">
        <v>615</v>
      </c>
      <c r="E99" t="s">
        <v>614</v>
      </c>
      <c r="F99" s="633">
        <v>40</v>
      </c>
      <c r="G99" s="634">
        <v>8.4</v>
      </c>
      <c r="H99" s="634">
        <v>0</v>
      </c>
      <c r="I99" s="633">
        <v>48.4</v>
      </c>
    </row>
    <row r="100" spans="1:9" ht="15" customHeight="1" x14ac:dyDescent="0.25">
      <c r="A100" t="s">
        <v>605</v>
      </c>
      <c r="B100" t="s">
        <v>426</v>
      </c>
      <c r="C100" t="s">
        <v>616</v>
      </c>
      <c r="D100" t="s">
        <v>617</v>
      </c>
      <c r="E100" t="s">
        <v>616</v>
      </c>
      <c r="F100" s="633">
        <v>17.100000000000001</v>
      </c>
      <c r="G100" s="634">
        <v>3.5910000000000002</v>
      </c>
      <c r="H100" s="634">
        <v>0</v>
      </c>
      <c r="I100" s="633">
        <v>20.690999999999999</v>
      </c>
    </row>
    <row r="101" spans="1:9" ht="15" customHeight="1" x14ac:dyDescent="0.25">
      <c r="A101" t="s">
        <v>605</v>
      </c>
      <c r="B101" t="s">
        <v>426</v>
      </c>
      <c r="C101" t="s">
        <v>618</v>
      </c>
      <c r="D101" t="s">
        <v>619</v>
      </c>
      <c r="E101" t="s">
        <v>618</v>
      </c>
      <c r="F101" s="633">
        <v>16</v>
      </c>
      <c r="G101" s="634">
        <v>3.36</v>
      </c>
      <c r="H101" s="634">
        <v>0</v>
      </c>
      <c r="I101" s="633">
        <v>19.36</v>
      </c>
    </row>
    <row r="102" spans="1:9" ht="15" customHeight="1" x14ac:dyDescent="0.25">
      <c r="A102" t="s">
        <v>605</v>
      </c>
      <c r="B102" t="s">
        <v>426</v>
      </c>
      <c r="C102" t="s">
        <v>620</v>
      </c>
      <c r="D102" t="s">
        <v>621</v>
      </c>
      <c r="E102" t="s">
        <v>620</v>
      </c>
      <c r="F102" s="633">
        <v>6.8</v>
      </c>
      <c r="G102" s="634">
        <v>1.4279999999999999</v>
      </c>
      <c r="H102" s="634">
        <v>0</v>
      </c>
      <c r="I102" s="633">
        <v>8.2279999999999998</v>
      </c>
    </row>
    <row r="103" spans="1:9" ht="15" customHeight="1" x14ac:dyDescent="0.25">
      <c r="A103" t="s">
        <v>605</v>
      </c>
      <c r="B103" t="s">
        <v>426</v>
      </c>
      <c r="C103" t="s">
        <v>622</v>
      </c>
      <c r="D103" t="s">
        <v>623</v>
      </c>
      <c r="E103" t="s">
        <v>622</v>
      </c>
      <c r="F103" s="633">
        <v>7.95</v>
      </c>
      <c r="G103" s="634">
        <v>1.6695</v>
      </c>
      <c r="H103" s="634">
        <v>0</v>
      </c>
      <c r="I103" s="633">
        <v>9.6195000000000004</v>
      </c>
    </row>
    <row r="104" spans="1:9" ht="15" customHeight="1" x14ac:dyDescent="0.25">
      <c r="A104" t="s">
        <v>605</v>
      </c>
      <c r="B104" t="s">
        <v>426</v>
      </c>
      <c r="C104" t="s">
        <v>624</v>
      </c>
      <c r="D104" t="s">
        <v>625</v>
      </c>
      <c r="E104" t="s">
        <v>624</v>
      </c>
      <c r="F104" s="633">
        <v>6.95</v>
      </c>
      <c r="G104" s="634">
        <v>1.4595</v>
      </c>
      <c r="H104" s="634">
        <v>0</v>
      </c>
      <c r="I104" s="633">
        <v>8.4094999999999995</v>
      </c>
    </row>
    <row r="105" spans="1:9" ht="15" customHeight="1" x14ac:dyDescent="0.25">
      <c r="A105" t="s">
        <v>605</v>
      </c>
      <c r="B105" t="s">
        <v>426</v>
      </c>
      <c r="C105" t="s">
        <v>626</v>
      </c>
      <c r="D105" t="s">
        <v>627</v>
      </c>
      <c r="E105" t="s">
        <v>626</v>
      </c>
      <c r="F105" s="633">
        <v>102</v>
      </c>
      <c r="G105" s="634">
        <v>21.42</v>
      </c>
      <c r="H105" s="634">
        <v>0</v>
      </c>
      <c r="I105" s="633">
        <v>123.42</v>
      </c>
    </row>
    <row r="106" spans="1:9" ht="15" customHeight="1" x14ac:dyDescent="0.25">
      <c r="A106" t="s">
        <v>605</v>
      </c>
      <c r="B106" t="s">
        <v>426</v>
      </c>
      <c r="C106" t="s">
        <v>628</v>
      </c>
      <c r="D106" t="s">
        <v>629</v>
      </c>
      <c r="E106" t="s">
        <v>628</v>
      </c>
      <c r="F106" s="633">
        <v>86</v>
      </c>
      <c r="G106" s="634">
        <v>18.059999999999999</v>
      </c>
      <c r="H106" s="634">
        <v>0</v>
      </c>
      <c r="I106" s="633">
        <v>104.06</v>
      </c>
    </row>
    <row r="107" spans="1:9" ht="15" customHeight="1" x14ac:dyDescent="0.25">
      <c r="A107" t="s">
        <v>605</v>
      </c>
      <c r="B107" t="s">
        <v>426</v>
      </c>
      <c r="C107" t="s">
        <v>630</v>
      </c>
      <c r="D107" t="s">
        <v>631</v>
      </c>
      <c r="E107" t="s">
        <v>630</v>
      </c>
      <c r="F107" s="633">
        <v>7</v>
      </c>
      <c r="G107" s="634">
        <v>1.47</v>
      </c>
      <c r="H107" s="634">
        <v>0</v>
      </c>
      <c r="I107" s="633">
        <v>8.4700000000000006</v>
      </c>
    </row>
    <row r="108" spans="1:9" ht="15" customHeight="1" x14ac:dyDescent="0.25">
      <c r="A108" t="s">
        <v>605</v>
      </c>
      <c r="B108" t="s">
        <v>426</v>
      </c>
      <c r="C108" t="s">
        <v>15</v>
      </c>
      <c r="D108" t="s">
        <v>632</v>
      </c>
      <c r="E108" t="s">
        <v>15</v>
      </c>
      <c r="F108" s="633">
        <v>7</v>
      </c>
      <c r="G108" s="634">
        <v>1.47</v>
      </c>
      <c r="H108" s="634">
        <v>0</v>
      </c>
      <c r="I108" s="633">
        <v>8.4700000000000006</v>
      </c>
    </row>
    <row r="109" spans="1:9" ht="15" customHeight="1" x14ac:dyDescent="0.25">
      <c r="A109" t="s">
        <v>605</v>
      </c>
      <c r="B109" t="s">
        <v>426</v>
      </c>
      <c r="C109" t="s">
        <v>23</v>
      </c>
      <c r="D109" t="s">
        <v>633</v>
      </c>
      <c r="E109" t="s">
        <v>23</v>
      </c>
      <c r="F109" s="633">
        <v>5.7</v>
      </c>
      <c r="G109" s="634">
        <v>1.1970000000000001</v>
      </c>
      <c r="H109" s="634">
        <v>0</v>
      </c>
      <c r="I109" s="633">
        <v>6.8970000000000002</v>
      </c>
    </row>
    <row r="110" spans="1:9" ht="15" customHeight="1" x14ac:dyDescent="0.25">
      <c r="A110" t="s">
        <v>605</v>
      </c>
      <c r="B110" t="s">
        <v>426</v>
      </c>
      <c r="C110" t="s">
        <v>634</v>
      </c>
      <c r="D110" t="s">
        <v>635</v>
      </c>
      <c r="E110" t="s">
        <v>634</v>
      </c>
      <c r="F110" s="633">
        <v>94</v>
      </c>
      <c r="G110" s="634">
        <v>19.739999999999998</v>
      </c>
      <c r="H110" s="634">
        <v>0</v>
      </c>
      <c r="I110" s="633">
        <v>113.74</v>
      </c>
    </row>
    <row r="111" spans="1:9" ht="15" customHeight="1" x14ac:dyDescent="0.25">
      <c r="A111" t="s">
        <v>605</v>
      </c>
      <c r="B111" t="s">
        <v>426</v>
      </c>
      <c r="C111" t="s">
        <v>636</v>
      </c>
      <c r="D111" t="s">
        <v>637</v>
      </c>
      <c r="E111" t="s">
        <v>636</v>
      </c>
      <c r="F111" s="633">
        <v>41.8</v>
      </c>
      <c r="G111" s="634">
        <v>8.7780000000000005</v>
      </c>
      <c r="H111" s="634">
        <v>0</v>
      </c>
      <c r="I111" s="633">
        <v>50.578000000000003</v>
      </c>
    </row>
    <row r="112" spans="1:9" ht="15" customHeight="1" x14ac:dyDescent="0.25">
      <c r="A112" t="s">
        <v>605</v>
      </c>
      <c r="B112" t="s">
        <v>426</v>
      </c>
      <c r="C112" t="s">
        <v>638</v>
      </c>
      <c r="D112" t="s">
        <v>639</v>
      </c>
      <c r="E112" t="s">
        <v>638</v>
      </c>
      <c r="F112" s="633">
        <v>20.41</v>
      </c>
      <c r="G112" s="634">
        <v>4.2861000000000002</v>
      </c>
      <c r="H112" s="634">
        <v>0</v>
      </c>
      <c r="I112" s="633">
        <v>24.696100000000001</v>
      </c>
    </row>
    <row r="113" spans="1:9" ht="15" customHeight="1" x14ac:dyDescent="0.25">
      <c r="A113" t="s">
        <v>605</v>
      </c>
      <c r="B113" t="s">
        <v>426</v>
      </c>
      <c r="C113" t="s">
        <v>640</v>
      </c>
      <c r="D113" t="s">
        <v>641</v>
      </c>
      <c r="E113" t="s">
        <v>640</v>
      </c>
      <c r="F113" s="633">
        <v>6</v>
      </c>
      <c r="G113" s="634">
        <v>1.26</v>
      </c>
      <c r="H113" s="634">
        <v>0</v>
      </c>
      <c r="I113" s="633">
        <v>7.26</v>
      </c>
    </row>
    <row r="114" spans="1:9" ht="15" customHeight="1" x14ac:dyDescent="0.25">
      <c r="A114" t="s">
        <v>605</v>
      </c>
      <c r="B114" t="s">
        <v>426</v>
      </c>
      <c r="C114" t="s">
        <v>642</v>
      </c>
      <c r="D114" t="s">
        <v>643</v>
      </c>
      <c r="E114" t="s">
        <v>642</v>
      </c>
      <c r="F114" s="633">
        <v>6.3</v>
      </c>
      <c r="G114" s="634">
        <v>1.323</v>
      </c>
      <c r="H114" s="634">
        <v>0</v>
      </c>
      <c r="I114" s="633">
        <v>7.6230000000000002</v>
      </c>
    </row>
    <row r="115" spans="1:9" ht="15" customHeight="1" x14ac:dyDescent="0.25">
      <c r="A115" t="s">
        <v>605</v>
      </c>
      <c r="B115" t="s">
        <v>426</v>
      </c>
      <c r="C115" t="s">
        <v>644</v>
      </c>
      <c r="D115" t="s">
        <v>645</v>
      </c>
      <c r="E115" t="s">
        <v>644</v>
      </c>
      <c r="F115" s="633">
        <v>65</v>
      </c>
      <c r="G115" s="634">
        <v>13.65</v>
      </c>
      <c r="H115" s="634">
        <v>0</v>
      </c>
      <c r="I115" s="633">
        <v>78.650000000000006</v>
      </c>
    </row>
    <row r="116" spans="1:9" ht="15" customHeight="1" x14ac:dyDescent="0.25">
      <c r="A116" t="s">
        <v>605</v>
      </c>
      <c r="B116" t="s">
        <v>426</v>
      </c>
      <c r="C116" t="s">
        <v>646</v>
      </c>
      <c r="D116" t="s">
        <v>647</v>
      </c>
      <c r="E116" t="s">
        <v>646</v>
      </c>
      <c r="F116" s="633">
        <v>20.95</v>
      </c>
      <c r="G116" s="634">
        <v>4.3994999999999997</v>
      </c>
      <c r="H116" s="634">
        <v>0</v>
      </c>
      <c r="I116" s="633">
        <v>25.349499999999999</v>
      </c>
    </row>
    <row r="117" spans="1:9" ht="15" customHeight="1" x14ac:dyDescent="0.25">
      <c r="A117" t="s">
        <v>605</v>
      </c>
      <c r="B117" t="s">
        <v>426</v>
      </c>
      <c r="C117" t="s">
        <v>648</v>
      </c>
      <c r="D117" t="s">
        <v>649</v>
      </c>
      <c r="E117" t="s">
        <v>648</v>
      </c>
      <c r="F117" s="633">
        <v>29.3</v>
      </c>
      <c r="G117" s="634">
        <v>6.1529999999999996</v>
      </c>
      <c r="H117" s="634">
        <v>0</v>
      </c>
      <c r="I117" s="633">
        <v>35.453000000000003</v>
      </c>
    </row>
    <row r="118" spans="1:9" ht="15" customHeight="1" x14ac:dyDescent="0.25">
      <c r="A118" t="s">
        <v>605</v>
      </c>
      <c r="B118" t="s">
        <v>426</v>
      </c>
      <c r="C118" t="s">
        <v>650</v>
      </c>
      <c r="D118" t="s">
        <v>651</v>
      </c>
      <c r="E118" t="s">
        <v>650</v>
      </c>
      <c r="F118" s="633">
        <v>31.5</v>
      </c>
      <c r="G118" s="634">
        <v>6.6150000000000002</v>
      </c>
      <c r="H118" s="634">
        <v>0</v>
      </c>
      <c r="I118" s="633">
        <v>38.115000000000002</v>
      </c>
    </row>
    <row r="119" spans="1:9" ht="15" customHeight="1" x14ac:dyDescent="0.25">
      <c r="A119" t="s">
        <v>605</v>
      </c>
      <c r="B119" t="s">
        <v>426</v>
      </c>
      <c r="C119" t="s">
        <v>652</v>
      </c>
      <c r="D119" t="s">
        <v>653</v>
      </c>
      <c r="E119" t="s">
        <v>652</v>
      </c>
      <c r="F119" s="633">
        <v>85.54</v>
      </c>
      <c r="G119" s="634">
        <v>17.9634</v>
      </c>
      <c r="H119" s="634">
        <v>0</v>
      </c>
      <c r="I119" s="633">
        <v>103.5034</v>
      </c>
    </row>
    <row r="120" spans="1:9" ht="15" customHeight="1" x14ac:dyDescent="0.25">
      <c r="A120" t="s">
        <v>605</v>
      </c>
      <c r="B120" t="s">
        <v>426</v>
      </c>
      <c r="C120" t="s">
        <v>654</v>
      </c>
      <c r="D120" t="s">
        <v>655</v>
      </c>
      <c r="E120" t="s">
        <v>654</v>
      </c>
      <c r="F120" s="633">
        <v>280</v>
      </c>
      <c r="G120" s="634">
        <v>58.8</v>
      </c>
      <c r="H120" s="634">
        <v>0</v>
      </c>
      <c r="I120" s="633">
        <v>338.8</v>
      </c>
    </row>
    <row r="121" spans="1:9" ht="15" customHeight="1" x14ac:dyDescent="0.25">
      <c r="A121" t="s">
        <v>605</v>
      </c>
      <c r="B121" t="s">
        <v>426</v>
      </c>
      <c r="C121" t="s">
        <v>656</v>
      </c>
      <c r="D121" t="s">
        <v>657</v>
      </c>
      <c r="E121" t="s">
        <v>656</v>
      </c>
      <c r="F121" s="633">
        <v>144</v>
      </c>
      <c r="G121" s="634">
        <v>30.24</v>
      </c>
      <c r="H121" s="634">
        <v>0</v>
      </c>
      <c r="I121" s="633">
        <v>174.24</v>
      </c>
    </row>
    <row r="122" spans="1:9" ht="15" customHeight="1" x14ac:dyDescent="0.25">
      <c r="A122" t="s">
        <v>605</v>
      </c>
      <c r="B122" t="s">
        <v>426</v>
      </c>
      <c r="C122" t="s">
        <v>658</v>
      </c>
      <c r="D122" t="s">
        <v>659</v>
      </c>
      <c r="E122" t="s">
        <v>658</v>
      </c>
      <c r="F122" s="633">
        <v>65</v>
      </c>
      <c r="G122" s="634">
        <v>13.65</v>
      </c>
      <c r="H122" s="634">
        <v>0</v>
      </c>
      <c r="I122" s="633">
        <v>78.650000000000006</v>
      </c>
    </row>
    <row r="123" spans="1:9" ht="15" customHeight="1" x14ac:dyDescent="0.25">
      <c r="A123" t="s">
        <v>605</v>
      </c>
      <c r="B123" t="s">
        <v>426</v>
      </c>
      <c r="C123" t="s">
        <v>660</v>
      </c>
      <c r="D123" t="s">
        <v>661</v>
      </c>
      <c r="E123" t="s">
        <v>660</v>
      </c>
      <c r="F123" s="633">
        <v>32.5</v>
      </c>
      <c r="G123" s="634">
        <v>6.8250000000000002</v>
      </c>
      <c r="H123" s="634">
        <v>0</v>
      </c>
      <c r="I123" s="633">
        <v>39.325000000000003</v>
      </c>
    </row>
    <row r="124" spans="1:9" ht="15" customHeight="1" x14ac:dyDescent="0.25">
      <c r="A124" t="s">
        <v>605</v>
      </c>
      <c r="B124" t="s">
        <v>426</v>
      </c>
      <c r="C124" t="s">
        <v>662</v>
      </c>
      <c r="D124" t="s">
        <v>663</v>
      </c>
      <c r="E124" t="s">
        <v>662</v>
      </c>
      <c r="F124" s="633">
        <v>31.5</v>
      </c>
      <c r="G124" s="634">
        <v>6.6150000000000002</v>
      </c>
      <c r="H124" s="634">
        <v>0</v>
      </c>
      <c r="I124" s="633">
        <v>38.115000000000002</v>
      </c>
    </row>
    <row r="125" spans="1:9" ht="15" customHeight="1" x14ac:dyDescent="0.25">
      <c r="A125" t="s">
        <v>605</v>
      </c>
      <c r="B125" t="s">
        <v>426</v>
      </c>
      <c r="C125" t="s">
        <v>664</v>
      </c>
      <c r="D125" t="s">
        <v>665</v>
      </c>
      <c r="E125" t="s">
        <v>664</v>
      </c>
      <c r="F125" s="633">
        <v>162</v>
      </c>
      <c r="G125" s="634">
        <v>34.020000000000003</v>
      </c>
      <c r="H125" s="634">
        <v>0</v>
      </c>
      <c r="I125" s="633">
        <v>196.02</v>
      </c>
    </row>
    <row r="126" spans="1:9" ht="15" customHeight="1" x14ac:dyDescent="0.25">
      <c r="A126" t="s">
        <v>605</v>
      </c>
      <c r="B126" t="s">
        <v>426</v>
      </c>
      <c r="C126" t="s">
        <v>666</v>
      </c>
      <c r="D126" t="s">
        <v>667</v>
      </c>
      <c r="E126" t="s">
        <v>666</v>
      </c>
      <c r="F126" s="633">
        <v>22.5</v>
      </c>
      <c r="G126" s="634">
        <v>4.7249999999999996</v>
      </c>
      <c r="H126" s="634">
        <v>0</v>
      </c>
      <c r="I126" s="633">
        <v>27.225000000000001</v>
      </c>
    </row>
    <row r="127" spans="1:9" ht="15" customHeight="1" x14ac:dyDescent="0.25">
      <c r="A127" t="s">
        <v>605</v>
      </c>
      <c r="B127" t="s">
        <v>426</v>
      </c>
      <c r="C127" t="s">
        <v>668</v>
      </c>
      <c r="D127" t="s">
        <v>669</v>
      </c>
      <c r="E127" t="s">
        <v>668</v>
      </c>
      <c r="F127" s="633">
        <v>40</v>
      </c>
      <c r="G127" s="634">
        <v>8.4</v>
      </c>
      <c r="H127" s="634">
        <v>0</v>
      </c>
      <c r="I127" s="633">
        <v>48.4</v>
      </c>
    </row>
    <row r="128" spans="1:9" ht="15" customHeight="1" x14ac:dyDescent="0.25">
      <c r="A128" t="s">
        <v>605</v>
      </c>
      <c r="B128" t="s">
        <v>426</v>
      </c>
      <c r="C128" t="s">
        <v>670</v>
      </c>
      <c r="D128" t="s">
        <v>671</v>
      </c>
      <c r="E128" t="s">
        <v>670</v>
      </c>
      <c r="F128" s="633">
        <v>295</v>
      </c>
      <c r="G128" s="634">
        <v>61.95</v>
      </c>
      <c r="H128" s="634">
        <v>0</v>
      </c>
      <c r="I128" s="633">
        <v>356.95</v>
      </c>
    </row>
    <row r="129" spans="1:9" ht="15" customHeight="1" x14ac:dyDescent="0.25">
      <c r="A129" t="s">
        <v>605</v>
      </c>
      <c r="B129" t="s">
        <v>426</v>
      </c>
      <c r="C129" t="s">
        <v>672</v>
      </c>
      <c r="D129" t="s">
        <v>673</v>
      </c>
      <c r="E129" t="s">
        <v>672</v>
      </c>
      <c r="F129" s="633">
        <v>52.52</v>
      </c>
      <c r="G129" s="634">
        <v>11.029199999999999</v>
      </c>
      <c r="H129" s="634">
        <v>0</v>
      </c>
      <c r="I129" s="633">
        <v>63.549199999999999</v>
      </c>
    </row>
    <row r="130" spans="1:9" ht="15" customHeight="1" x14ac:dyDescent="0.25">
      <c r="A130" t="s">
        <v>605</v>
      </c>
      <c r="B130" t="s">
        <v>426</v>
      </c>
      <c r="C130" t="s">
        <v>674</v>
      </c>
      <c r="D130" t="s">
        <v>675</v>
      </c>
      <c r="E130" t="s">
        <v>674</v>
      </c>
      <c r="F130" s="633">
        <v>28.5</v>
      </c>
      <c r="G130" s="634">
        <v>5.9850000000000003</v>
      </c>
      <c r="H130" s="634">
        <v>0</v>
      </c>
      <c r="I130" s="633">
        <v>34.484999999999999</v>
      </c>
    </row>
    <row r="131" spans="1:9" ht="15" customHeight="1" x14ac:dyDescent="0.25">
      <c r="A131" t="s">
        <v>605</v>
      </c>
      <c r="B131" t="s">
        <v>426</v>
      </c>
      <c r="C131" t="s">
        <v>27</v>
      </c>
      <c r="D131" t="s">
        <v>676</v>
      </c>
      <c r="E131" t="s">
        <v>27</v>
      </c>
      <c r="F131" s="633">
        <v>53</v>
      </c>
      <c r="G131" s="634">
        <v>11.13</v>
      </c>
      <c r="H131" s="634">
        <v>0</v>
      </c>
      <c r="I131" s="633">
        <v>64.13</v>
      </c>
    </row>
    <row r="132" spans="1:9" ht="15" customHeight="1" x14ac:dyDescent="0.25">
      <c r="A132" t="s">
        <v>605</v>
      </c>
      <c r="B132" t="s">
        <v>426</v>
      </c>
      <c r="C132" t="s">
        <v>677</v>
      </c>
      <c r="D132" t="s">
        <v>678</v>
      </c>
      <c r="E132" t="s">
        <v>677</v>
      </c>
      <c r="F132" s="633">
        <v>19</v>
      </c>
      <c r="G132" s="634">
        <v>3.99</v>
      </c>
      <c r="H132" s="634">
        <v>0</v>
      </c>
      <c r="I132" s="633">
        <v>22.99</v>
      </c>
    </row>
    <row r="133" spans="1:9" ht="15" customHeight="1" x14ac:dyDescent="0.25">
      <c r="A133" t="s">
        <v>605</v>
      </c>
      <c r="B133" t="s">
        <v>426</v>
      </c>
      <c r="C133" t="s">
        <v>679</v>
      </c>
      <c r="D133" t="s">
        <v>680</v>
      </c>
      <c r="E133" t="s">
        <v>679</v>
      </c>
      <c r="F133" s="633">
        <v>37</v>
      </c>
      <c r="G133" s="634">
        <v>7.77</v>
      </c>
      <c r="H133" s="634">
        <v>0</v>
      </c>
      <c r="I133" s="633">
        <v>44.77</v>
      </c>
    </row>
    <row r="134" spans="1:9" ht="15" customHeight="1" x14ac:dyDescent="0.25">
      <c r="A134" t="s">
        <v>605</v>
      </c>
      <c r="B134" t="s">
        <v>426</v>
      </c>
      <c r="C134" t="s">
        <v>681</v>
      </c>
      <c r="D134" t="s">
        <v>682</v>
      </c>
      <c r="E134" t="s">
        <v>681</v>
      </c>
      <c r="F134" s="633">
        <v>40.200000000000003</v>
      </c>
      <c r="G134" s="634">
        <v>8.4420000000000002</v>
      </c>
      <c r="H134" s="634">
        <v>0</v>
      </c>
      <c r="I134" s="633">
        <v>48.642000000000003</v>
      </c>
    </row>
    <row r="135" spans="1:9" ht="15" customHeight="1" x14ac:dyDescent="0.25">
      <c r="A135" t="s">
        <v>605</v>
      </c>
      <c r="B135" t="s">
        <v>426</v>
      </c>
      <c r="C135" t="s">
        <v>683</v>
      </c>
      <c r="D135" t="s">
        <v>684</v>
      </c>
      <c r="E135" t="s">
        <v>683</v>
      </c>
      <c r="F135" s="633">
        <v>45</v>
      </c>
      <c r="G135" s="634">
        <v>9.4499999999999993</v>
      </c>
      <c r="H135" s="634">
        <v>0</v>
      </c>
      <c r="I135" s="633">
        <v>54.45</v>
      </c>
    </row>
    <row r="136" spans="1:9" ht="15" customHeight="1" x14ac:dyDescent="0.25">
      <c r="A136" t="s">
        <v>605</v>
      </c>
      <c r="B136" t="s">
        <v>426</v>
      </c>
      <c r="C136" t="s">
        <v>685</v>
      </c>
      <c r="D136" t="s">
        <v>686</v>
      </c>
      <c r="E136" t="s">
        <v>685</v>
      </c>
      <c r="F136" s="633">
        <v>19</v>
      </c>
      <c r="G136" s="634">
        <v>3.99</v>
      </c>
      <c r="H136" s="634">
        <v>0</v>
      </c>
      <c r="I136" s="633">
        <v>22.99</v>
      </c>
    </row>
    <row r="137" spans="1:9" ht="15" customHeight="1" x14ac:dyDescent="0.25">
      <c r="A137" t="s">
        <v>605</v>
      </c>
      <c r="B137" t="s">
        <v>426</v>
      </c>
      <c r="C137" t="s">
        <v>687</v>
      </c>
      <c r="D137" t="s">
        <v>688</v>
      </c>
      <c r="E137" t="s">
        <v>687</v>
      </c>
      <c r="F137" s="633">
        <v>40</v>
      </c>
      <c r="G137" s="634">
        <v>8.4</v>
      </c>
      <c r="H137" s="634">
        <v>0</v>
      </c>
      <c r="I137" s="633">
        <v>48.4</v>
      </c>
    </row>
    <row r="138" spans="1:9" ht="15" customHeight="1" x14ac:dyDescent="0.25">
      <c r="A138" t="s">
        <v>605</v>
      </c>
      <c r="B138" t="s">
        <v>426</v>
      </c>
      <c r="C138" t="s">
        <v>689</v>
      </c>
      <c r="D138" t="s">
        <v>690</v>
      </c>
      <c r="E138" t="s">
        <v>689</v>
      </c>
      <c r="F138" s="633">
        <v>65</v>
      </c>
      <c r="G138" s="634">
        <v>13.65</v>
      </c>
      <c r="H138" s="634">
        <v>0</v>
      </c>
      <c r="I138" s="633">
        <v>78.650000000000006</v>
      </c>
    </row>
    <row r="139" spans="1:9" ht="15" customHeight="1" x14ac:dyDescent="0.25">
      <c r="A139" t="s">
        <v>605</v>
      </c>
      <c r="B139" t="s">
        <v>426</v>
      </c>
      <c r="C139" t="s">
        <v>691</v>
      </c>
      <c r="D139" t="s">
        <v>692</v>
      </c>
      <c r="E139" t="s">
        <v>691</v>
      </c>
      <c r="F139" s="633">
        <v>40.689599999999999</v>
      </c>
      <c r="G139" s="634">
        <v>8.5448160000000009</v>
      </c>
      <c r="H139" s="634">
        <v>0</v>
      </c>
      <c r="I139" s="633">
        <v>49.234416000000003</v>
      </c>
    </row>
    <row r="140" spans="1:9" ht="15" customHeight="1" x14ac:dyDescent="0.25">
      <c r="A140" t="s">
        <v>605</v>
      </c>
      <c r="B140" t="s">
        <v>426</v>
      </c>
      <c r="C140" t="s">
        <v>693</v>
      </c>
      <c r="D140" t="s">
        <v>694</v>
      </c>
      <c r="E140" t="s">
        <v>693</v>
      </c>
      <c r="F140" s="633">
        <v>45</v>
      </c>
      <c r="G140" s="634">
        <v>9.4499999999999993</v>
      </c>
      <c r="H140" s="634">
        <v>0</v>
      </c>
      <c r="I140" s="633">
        <v>54.45</v>
      </c>
    </row>
    <row r="141" spans="1:9" ht="15" customHeight="1" x14ac:dyDescent="0.25">
      <c r="A141" t="s">
        <v>605</v>
      </c>
      <c r="B141" t="s">
        <v>426</v>
      </c>
      <c r="C141" t="s">
        <v>695</v>
      </c>
      <c r="D141" t="s">
        <v>696</v>
      </c>
      <c r="E141" t="s">
        <v>695</v>
      </c>
      <c r="F141" s="633">
        <v>37</v>
      </c>
      <c r="G141" s="634">
        <v>7.77</v>
      </c>
      <c r="H141" s="634">
        <v>0</v>
      </c>
      <c r="I141" s="633">
        <v>44.77</v>
      </c>
    </row>
    <row r="142" spans="1:9" ht="15" customHeight="1" x14ac:dyDescent="0.25">
      <c r="A142" t="s">
        <v>605</v>
      </c>
      <c r="B142" t="s">
        <v>426</v>
      </c>
      <c r="C142" t="s">
        <v>24</v>
      </c>
      <c r="D142" t="s">
        <v>697</v>
      </c>
      <c r="E142" t="s">
        <v>24</v>
      </c>
      <c r="F142" s="633">
        <v>40.5</v>
      </c>
      <c r="G142" s="634">
        <v>8.5050000000000008</v>
      </c>
      <c r="H142" s="634">
        <v>0</v>
      </c>
      <c r="I142" s="633">
        <v>49.005000000000003</v>
      </c>
    </row>
    <row r="143" spans="1:9" ht="15" customHeight="1" x14ac:dyDescent="0.25">
      <c r="A143" t="s">
        <v>605</v>
      </c>
      <c r="B143" t="s">
        <v>426</v>
      </c>
      <c r="C143" t="s">
        <v>698</v>
      </c>
      <c r="D143" t="s">
        <v>699</v>
      </c>
      <c r="E143" t="s">
        <v>698</v>
      </c>
      <c r="F143" s="633">
        <v>211.2</v>
      </c>
      <c r="G143" s="634">
        <v>44.351999999999997</v>
      </c>
      <c r="H143" s="634">
        <v>0</v>
      </c>
      <c r="I143" s="633">
        <v>255.55199999999999</v>
      </c>
    </row>
    <row r="144" spans="1:9" ht="15" customHeight="1" x14ac:dyDescent="0.25">
      <c r="A144" t="s">
        <v>605</v>
      </c>
      <c r="B144" t="s">
        <v>426</v>
      </c>
      <c r="C144" t="s">
        <v>28</v>
      </c>
      <c r="D144" t="s">
        <v>700</v>
      </c>
      <c r="E144" t="s">
        <v>28</v>
      </c>
      <c r="F144" s="633">
        <v>5.8</v>
      </c>
      <c r="G144" s="634">
        <v>1.218</v>
      </c>
      <c r="H144" s="634">
        <v>0</v>
      </c>
      <c r="I144" s="633">
        <v>7.0179999999999998</v>
      </c>
    </row>
    <row r="145" spans="1:9" ht="15" customHeight="1" x14ac:dyDescent="0.25">
      <c r="A145" t="s">
        <v>605</v>
      </c>
      <c r="B145" t="s">
        <v>426</v>
      </c>
      <c r="C145" t="s">
        <v>701</v>
      </c>
      <c r="D145" t="s">
        <v>702</v>
      </c>
      <c r="E145" t="s">
        <v>701</v>
      </c>
      <c r="F145" s="633">
        <v>153.27000000000001</v>
      </c>
      <c r="G145" s="634">
        <v>32.186700000000002</v>
      </c>
      <c r="H145" s="634">
        <v>0</v>
      </c>
      <c r="I145" s="633">
        <v>185.45670000000001</v>
      </c>
    </row>
    <row r="146" spans="1:9" ht="15" customHeight="1" x14ac:dyDescent="0.25">
      <c r="A146" t="s">
        <v>605</v>
      </c>
      <c r="B146" t="s">
        <v>426</v>
      </c>
      <c r="C146" t="s">
        <v>703</v>
      </c>
      <c r="D146" t="s">
        <v>704</v>
      </c>
      <c r="E146" t="s">
        <v>703</v>
      </c>
      <c r="F146" s="633">
        <v>60</v>
      </c>
      <c r="G146" s="634">
        <v>12.6</v>
      </c>
      <c r="H146" s="634">
        <v>0</v>
      </c>
      <c r="I146" s="633">
        <v>72.599999999999994</v>
      </c>
    </row>
    <row r="147" spans="1:9" ht="15" customHeight="1" x14ac:dyDescent="0.25">
      <c r="A147" t="s">
        <v>605</v>
      </c>
      <c r="B147" t="s">
        <v>426</v>
      </c>
      <c r="C147" t="s">
        <v>705</v>
      </c>
      <c r="D147" t="s">
        <v>706</v>
      </c>
      <c r="E147" t="s">
        <v>705</v>
      </c>
      <c r="F147" s="633">
        <v>8.4</v>
      </c>
      <c r="G147" s="634">
        <v>1.764</v>
      </c>
      <c r="H147" s="634">
        <v>0</v>
      </c>
      <c r="I147" s="633">
        <v>10.164</v>
      </c>
    </row>
    <row r="148" spans="1:9" ht="15" customHeight="1" x14ac:dyDescent="0.25">
      <c r="A148" t="s">
        <v>605</v>
      </c>
      <c r="B148" t="s">
        <v>426</v>
      </c>
      <c r="C148" t="s">
        <v>707</v>
      </c>
      <c r="D148" t="s">
        <v>708</v>
      </c>
      <c r="E148" t="s">
        <v>707</v>
      </c>
      <c r="F148" s="633">
        <v>64.260000000000005</v>
      </c>
      <c r="G148" s="634">
        <v>13.4946</v>
      </c>
      <c r="H148" s="634">
        <v>0</v>
      </c>
      <c r="I148" s="633">
        <v>77.754599999999996</v>
      </c>
    </row>
    <row r="149" spans="1:9" ht="15" customHeight="1" x14ac:dyDescent="0.25">
      <c r="A149" t="s">
        <v>605</v>
      </c>
      <c r="B149" t="s">
        <v>426</v>
      </c>
      <c r="C149" t="s">
        <v>709</v>
      </c>
      <c r="D149" t="s">
        <v>710</v>
      </c>
      <c r="E149" t="s">
        <v>709</v>
      </c>
      <c r="F149" s="633">
        <v>15.84</v>
      </c>
      <c r="G149" s="634">
        <v>3.3264</v>
      </c>
      <c r="H149" s="634">
        <v>0</v>
      </c>
      <c r="I149" s="633">
        <v>19.166399999999999</v>
      </c>
    </row>
    <row r="150" spans="1:9" ht="15" customHeight="1" x14ac:dyDescent="0.25">
      <c r="A150" t="s">
        <v>605</v>
      </c>
      <c r="B150" t="s">
        <v>426</v>
      </c>
      <c r="C150" t="s">
        <v>711</v>
      </c>
      <c r="D150" t="s">
        <v>712</v>
      </c>
      <c r="E150" t="s">
        <v>711</v>
      </c>
      <c r="F150" s="633">
        <v>66.5</v>
      </c>
      <c r="G150" s="634">
        <v>13.965</v>
      </c>
      <c r="H150" s="634">
        <v>0</v>
      </c>
      <c r="I150" s="633">
        <v>80.465000000000003</v>
      </c>
    </row>
    <row r="151" spans="1:9" ht="15" customHeight="1" x14ac:dyDescent="0.25">
      <c r="A151" t="s">
        <v>605</v>
      </c>
      <c r="B151" t="s">
        <v>426</v>
      </c>
      <c r="C151" t="s">
        <v>713</v>
      </c>
      <c r="D151" t="s">
        <v>714</v>
      </c>
      <c r="E151" t="s">
        <v>713</v>
      </c>
      <c r="F151" s="633">
        <v>47.44</v>
      </c>
      <c r="G151" s="634">
        <v>9.9624000000000006</v>
      </c>
      <c r="H151" s="634">
        <v>0</v>
      </c>
      <c r="I151" s="633">
        <v>57.4024</v>
      </c>
    </row>
    <row r="152" spans="1:9" ht="15" customHeight="1" x14ac:dyDescent="0.25">
      <c r="A152" t="s">
        <v>605</v>
      </c>
      <c r="B152" t="s">
        <v>426</v>
      </c>
      <c r="C152" t="s">
        <v>715</v>
      </c>
      <c r="D152" t="s">
        <v>716</v>
      </c>
      <c r="E152" t="s">
        <v>715</v>
      </c>
      <c r="F152" s="633">
        <v>10.3</v>
      </c>
      <c r="G152" s="634">
        <v>2.1629999999999998</v>
      </c>
      <c r="H152" s="634">
        <v>0</v>
      </c>
      <c r="I152" s="633">
        <v>12.462999999999999</v>
      </c>
    </row>
    <row r="153" spans="1:9" ht="15" customHeight="1" x14ac:dyDescent="0.25">
      <c r="A153" t="s">
        <v>717</v>
      </c>
      <c r="B153" t="s">
        <v>426</v>
      </c>
      <c r="C153" t="s">
        <v>718</v>
      </c>
      <c r="D153" t="s">
        <v>719</v>
      </c>
      <c r="E153" t="s">
        <v>718</v>
      </c>
      <c r="F153" s="633">
        <v>33.6</v>
      </c>
      <c r="G153" s="634">
        <v>7.056</v>
      </c>
      <c r="H153" s="634">
        <v>0</v>
      </c>
      <c r="I153" s="633">
        <v>40.655999999999999</v>
      </c>
    </row>
    <row r="154" spans="1:9" ht="15" customHeight="1" x14ac:dyDescent="0.25">
      <c r="A154" t="s">
        <v>717</v>
      </c>
      <c r="B154" t="s">
        <v>426</v>
      </c>
      <c r="C154" t="s">
        <v>720</v>
      </c>
      <c r="D154" t="s">
        <v>721</v>
      </c>
      <c r="E154" t="s">
        <v>720</v>
      </c>
      <c r="F154" s="633">
        <v>5.4</v>
      </c>
      <c r="G154" s="634">
        <v>1.1339999999999999</v>
      </c>
      <c r="H154" s="634">
        <v>0</v>
      </c>
      <c r="I154" s="633">
        <v>6.5339999999999998</v>
      </c>
    </row>
    <row r="155" spans="1:9" ht="15" customHeight="1" x14ac:dyDescent="0.25">
      <c r="A155" t="s">
        <v>717</v>
      </c>
      <c r="B155" t="s">
        <v>426</v>
      </c>
      <c r="C155" t="s">
        <v>722</v>
      </c>
      <c r="D155" t="s">
        <v>723</v>
      </c>
      <c r="E155" t="s">
        <v>722</v>
      </c>
      <c r="F155" s="633">
        <v>30.95</v>
      </c>
      <c r="G155" s="634">
        <v>6.4995000000000003</v>
      </c>
      <c r="H155" s="634">
        <v>0</v>
      </c>
      <c r="I155" s="633">
        <v>37.4495</v>
      </c>
    </row>
    <row r="156" spans="1:9" ht="15" customHeight="1" x14ac:dyDescent="0.25">
      <c r="A156" t="s">
        <v>717</v>
      </c>
      <c r="B156" t="s">
        <v>426</v>
      </c>
      <c r="C156" t="s">
        <v>724</v>
      </c>
      <c r="D156" t="s">
        <v>725</v>
      </c>
      <c r="E156" t="s">
        <v>724</v>
      </c>
      <c r="F156" s="633">
        <v>5</v>
      </c>
      <c r="G156" s="634">
        <v>1.05</v>
      </c>
      <c r="H156" s="634">
        <v>0</v>
      </c>
      <c r="I156" s="633">
        <v>6.05</v>
      </c>
    </row>
    <row r="157" spans="1:9" ht="15" customHeight="1" x14ac:dyDescent="0.25">
      <c r="A157" t="s">
        <v>717</v>
      </c>
      <c r="B157" t="s">
        <v>426</v>
      </c>
      <c r="C157" t="s">
        <v>726</v>
      </c>
      <c r="D157" t="s">
        <v>727</v>
      </c>
      <c r="E157" t="s">
        <v>726</v>
      </c>
      <c r="F157" s="633">
        <v>49.5</v>
      </c>
      <c r="G157" s="634">
        <v>10.395</v>
      </c>
      <c r="H157" s="634">
        <v>0</v>
      </c>
      <c r="I157" s="633">
        <v>59.895000000000003</v>
      </c>
    </row>
    <row r="158" spans="1:9" ht="15" customHeight="1" x14ac:dyDescent="0.25">
      <c r="A158" t="s">
        <v>717</v>
      </c>
      <c r="B158" t="s">
        <v>426</v>
      </c>
      <c r="C158" t="s">
        <v>728</v>
      </c>
      <c r="D158" t="s">
        <v>729</v>
      </c>
      <c r="E158" t="s">
        <v>728</v>
      </c>
      <c r="F158" s="633">
        <v>52</v>
      </c>
      <c r="G158" s="634">
        <v>10.92</v>
      </c>
      <c r="H158" s="634">
        <v>0</v>
      </c>
      <c r="I158" s="633">
        <v>62.92</v>
      </c>
    </row>
    <row r="159" spans="1:9" ht="15" customHeight="1" x14ac:dyDescent="0.25">
      <c r="A159" t="s">
        <v>717</v>
      </c>
      <c r="B159" t="s">
        <v>426</v>
      </c>
      <c r="C159" t="s">
        <v>730</v>
      </c>
      <c r="D159" t="s">
        <v>731</v>
      </c>
      <c r="E159" t="s">
        <v>730</v>
      </c>
      <c r="F159" s="633">
        <v>44</v>
      </c>
      <c r="G159" s="634">
        <v>9.24</v>
      </c>
      <c r="H159" s="634">
        <v>0</v>
      </c>
      <c r="I159" s="633">
        <v>53.24</v>
      </c>
    </row>
    <row r="160" spans="1:9" ht="15" customHeight="1" x14ac:dyDescent="0.25">
      <c r="A160" t="s">
        <v>717</v>
      </c>
      <c r="B160" t="s">
        <v>426</v>
      </c>
      <c r="C160" t="s">
        <v>732</v>
      </c>
      <c r="D160" t="s">
        <v>733</v>
      </c>
      <c r="E160" t="s">
        <v>732</v>
      </c>
      <c r="F160" s="633">
        <v>45</v>
      </c>
      <c r="G160" s="634">
        <v>9.4499999999999993</v>
      </c>
      <c r="H160" s="634">
        <v>0</v>
      </c>
      <c r="I160" s="633">
        <v>54.45</v>
      </c>
    </row>
    <row r="161" spans="1:9" ht="15" customHeight="1" x14ac:dyDescent="0.25">
      <c r="A161" t="s">
        <v>717</v>
      </c>
      <c r="B161" t="s">
        <v>426</v>
      </c>
      <c r="C161" t="s">
        <v>20</v>
      </c>
      <c r="D161" t="s">
        <v>734</v>
      </c>
      <c r="E161" t="s">
        <v>20</v>
      </c>
      <c r="F161" s="633">
        <v>29.81</v>
      </c>
      <c r="G161" s="634">
        <v>6.2601000000000004</v>
      </c>
      <c r="H161" s="634">
        <v>0</v>
      </c>
      <c r="I161" s="633">
        <v>36.070099999999996</v>
      </c>
    </row>
    <row r="162" spans="1:9" ht="15" customHeight="1" x14ac:dyDescent="0.25">
      <c r="A162" t="s">
        <v>717</v>
      </c>
      <c r="B162" t="s">
        <v>426</v>
      </c>
      <c r="C162" t="s">
        <v>735</v>
      </c>
      <c r="D162" t="s">
        <v>736</v>
      </c>
      <c r="E162" t="s">
        <v>735</v>
      </c>
      <c r="F162" s="633">
        <v>46</v>
      </c>
      <c r="G162" s="634">
        <v>9.66</v>
      </c>
      <c r="H162" s="634">
        <v>0</v>
      </c>
      <c r="I162" s="633">
        <v>55.66</v>
      </c>
    </row>
    <row r="163" spans="1:9" ht="15" customHeight="1" x14ac:dyDescent="0.25">
      <c r="A163" t="s">
        <v>717</v>
      </c>
      <c r="B163" t="s">
        <v>426</v>
      </c>
      <c r="C163" t="s">
        <v>737</v>
      </c>
      <c r="D163" t="s">
        <v>738</v>
      </c>
      <c r="E163" t="s">
        <v>737</v>
      </c>
      <c r="F163" s="633">
        <v>20</v>
      </c>
      <c r="G163" s="634">
        <v>4.2</v>
      </c>
      <c r="H163" s="634">
        <v>0</v>
      </c>
      <c r="I163" s="633">
        <v>24.2</v>
      </c>
    </row>
    <row r="164" spans="1:9" ht="15" customHeight="1" x14ac:dyDescent="0.25">
      <c r="A164" t="s">
        <v>717</v>
      </c>
      <c r="B164" t="s">
        <v>426</v>
      </c>
      <c r="C164" t="s">
        <v>739</v>
      </c>
      <c r="D164" t="s">
        <v>740</v>
      </c>
      <c r="E164" t="s">
        <v>739</v>
      </c>
      <c r="F164" s="633">
        <v>31.61</v>
      </c>
      <c r="G164" s="634">
        <v>6.6380999999999997</v>
      </c>
      <c r="H164" s="634">
        <v>0</v>
      </c>
      <c r="I164" s="633">
        <v>38.248100000000001</v>
      </c>
    </row>
    <row r="165" spans="1:9" ht="15" customHeight="1" x14ac:dyDescent="0.25">
      <c r="A165" t="s">
        <v>717</v>
      </c>
      <c r="B165" t="s">
        <v>426</v>
      </c>
      <c r="C165" t="s">
        <v>741</v>
      </c>
      <c r="D165" t="s">
        <v>742</v>
      </c>
      <c r="E165" t="s">
        <v>741</v>
      </c>
      <c r="F165" s="633">
        <v>36</v>
      </c>
      <c r="G165" s="634">
        <v>7.56</v>
      </c>
      <c r="H165" s="634">
        <v>0</v>
      </c>
      <c r="I165" s="633">
        <v>43.56</v>
      </c>
    </row>
    <row r="166" spans="1:9" ht="15" customHeight="1" x14ac:dyDescent="0.25">
      <c r="A166" t="s">
        <v>717</v>
      </c>
      <c r="B166" t="s">
        <v>426</v>
      </c>
      <c r="C166" t="s">
        <v>743</v>
      </c>
      <c r="D166" t="s">
        <v>744</v>
      </c>
      <c r="E166" t="s">
        <v>743</v>
      </c>
      <c r="F166" s="633">
        <v>45</v>
      </c>
      <c r="G166" s="634">
        <v>9.4499999999999993</v>
      </c>
      <c r="H166" s="634">
        <v>0</v>
      </c>
      <c r="I166" s="633">
        <v>54.45</v>
      </c>
    </row>
    <row r="167" spans="1:9" ht="15" customHeight="1" x14ac:dyDescent="0.25">
      <c r="A167" t="s">
        <v>717</v>
      </c>
      <c r="B167" t="s">
        <v>426</v>
      </c>
      <c r="C167" t="s">
        <v>745</v>
      </c>
      <c r="D167" t="s">
        <v>746</v>
      </c>
      <c r="E167" t="s">
        <v>745</v>
      </c>
      <c r="F167" s="633">
        <v>44</v>
      </c>
      <c r="G167" s="634">
        <v>9.24</v>
      </c>
      <c r="H167" s="634">
        <v>0</v>
      </c>
      <c r="I167" s="633">
        <v>53.24</v>
      </c>
    </row>
    <row r="168" spans="1:9" ht="15" customHeight="1" x14ac:dyDescent="0.25">
      <c r="A168" t="s">
        <v>717</v>
      </c>
      <c r="B168" t="s">
        <v>426</v>
      </c>
      <c r="C168" t="s">
        <v>747</v>
      </c>
      <c r="D168" t="s">
        <v>748</v>
      </c>
      <c r="E168" t="s">
        <v>747</v>
      </c>
      <c r="F168" s="633">
        <v>46</v>
      </c>
      <c r="G168" s="634">
        <v>9.66</v>
      </c>
      <c r="H168" s="634">
        <v>0</v>
      </c>
      <c r="I168" s="633">
        <v>55.66</v>
      </c>
    </row>
    <row r="169" spans="1:9" ht="15" customHeight="1" x14ac:dyDescent="0.25">
      <c r="A169" t="s">
        <v>717</v>
      </c>
      <c r="B169" t="s">
        <v>426</v>
      </c>
      <c r="C169" t="s">
        <v>749</v>
      </c>
      <c r="D169" t="s">
        <v>750</v>
      </c>
      <c r="E169" t="s">
        <v>749</v>
      </c>
      <c r="F169" s="633">
        <v>87</v>
      </c>
      <c r="G169" s="634">
        <v>18.27</v>
      </c>
      <c r="H169" s="634">
        <v>0</v>
      </c>
      <c r="I169" s="633">
        <v>105.27</v>
      </c>
    </row>
    <row r="170" spans="1:9" ht="15" customHeight="1" x14ac:dyDescent="0.25">
      <c r="A170" t="s">
        <v>717</v>
      </c>
      <c r="B170" t="s">
        <v>426</v>
      </c>
      <c r="C170" t="s">
        <v>25</v>
      </c>
      <c r="D170" t="s">
        <v>751</v>
      </c>
      <c r="E170" t="s">
        <v>25</v>
      </c>
      <c r="F170" s="633">
        <v>56</v>
      </c>
      <c r="G170" s="634">
        <v>11.76</v>
      </c>
      <c r="H170" s="634">
        <v>0</v>
      </c>
      <c r="I170" s="633">
        <v>67.760000000000005</v>
      </c>
    </row>
    <row r="171" spans="1:9" ht="15" customHeight="1" x14ac:dyDescent="0.25">
      <c r="A171" t="s">
        <v>717</v>
      </c>
      <c r="B171" t="s">
        <v>426</v>
      </c>
      <c r="C171" t="s">
        <v>752</v>
      </c>
      <c r="D171" t="s">
        <v>753</v>
      </c>
      <c r="E171" t="s">
        <v>752</v>
      </c>
      <c r="F171" s="633">
        <v>41</v>
      </c>
      <c r="G171" s="634">
        <v>8.61</v>
      </c>
      <c r="H171" s="634">
        <v>0</v>
      </c>
      <c r="I171" s="633">
        <v>49.61</v>
      </c>
    </row>
    <row r="172" spans="1:9" ht="15" customHeight="1" x14ac:dyDescent="0.25">
      <c r="A172" t="s">
        <v>717</v>
      </c>
      <c r="B172" t="s">
        <v>426</v>
      </c>
      <c r="C172" t="s">
        <v>754</v>
      </c>
      <c r="D172" t="s">
        <v>755</v>
      </c>
      <c r="E172" t="s">
        <v>754</v>
      </c>
      <c r="F172" s="633">
        <v>10.5</v>
      </c>
      <c r="G172" s="634">
        <v>2.2050000000000001</v>
      </c>
      <c r="H172" s="634">
        <v>0</v>
      </c>
      <c r="I172" s="633">
        <v>12.705</v>
      </c>
    </row>
    <row r="173" spans="1:9" ht="15" customHeight="1" x14ac:dyDescent="0.25">
      <c r="A173" t="s">
        <v>756</v>
      </c>
      <c r="B173" t="s">
        <v>426</v>
      </c>
      <c r="C173" t="s">
        <v>757</v>
      </c>
      <c r="D173" t="s">
        <v>758</v>
      </c>
      <c r="E173" t="s">
        <v>757</v>
      </c>
      <c r="F173" s="633">
        <v>62.54</v>
      </c>
      <c r="G173" s="634">
        <v>13.1334</v>
      </c>
      <c r="H173" s="634">
        <v>0</v>
      </c>
      <c r="I173" s="633">
        <v>75.673400000000001</v>
      </c>
    </row>
    <row r="174" spans="1:9" ht="15" customHeight="1" x14ac:dyDescent="0.25">
      <c r="A174" t="s">
        <v>756</v>
      </c>
      <c r="B174" t="s">
        <v>426</v>
      </c>
      <c r="C174" t="s">
        <v>759</v>
      </c>
      <c r="D174" t="s">
        <v>760</v>
      </c>
      <c r="E174" t="s">
        <v>759</v>
      </c>
      <c r="F174" s="633">
        <v>345</v>
      </c>
      <c r="G174" s="634">
        <v>72.45</v>
      </c>
      <c r="H174" s="634">
        <v>0</v>
      </c>
      <c r="I174" s="633">
        <v>417.45</v>
      </c>
    </row>
    <row r="175" spans="1:9" ht="15" customHeight="1" x14ac:dyDescent="0.25">
      <c r="A175" t="s">
        <v>756</v>
      </c>
      <c r="B175" t="s">
        <v>426</v>
      </c>
      <c r="C175" t="s">
        <v>761</v>
      </c>
      <c r="D175" t="s">
        <v>762</v>
      </c>
      <c r="E175" t="s">
        <v>761</v>
      </c>
      <c r="F175" s="633">
        <v>48.24</v>
      </c>
      <c r="G175" s="634">
        <v>10.1304</v>
      </c>
      <c r="H175" s="634">
        <v>0</v>
      </c>
      <c r="I175" s="633">
        <v>58.370399999999997</v>
      </c>
    </row>
    <row r="176" spans="1:9" ht="15" customHeight="1" x14ac:dyDescent="0.25">
      <c r="A176" t="s">
        <v>756</v>
      </c>
      <c r="B176" t="s">
        <v>426</v>
      </c>
      <c r="C176" t="s">
        <v>763</v>
      </c>
      <c r="D176" t="s">
        <v>764</v>
      </c>
      <c r="E176" t="s">
        <v>763</v>
      </c>
      <c r="F176" s="633">
        <v>91.5</v>
      </c>
      <c r="G176" s="634">
        <v>19.215</v>
      </c>
      <c r="H176" s="634">
        <v>0</v>
      </c>
      <c r="I176" s="633">
        <v>110.715</v>
      </c>
    </row>
    <row r="177" spans="1:9" ht="15" customHeight="1" x14ac:dyDescent="0.25">
      <c r="A177" t="s">
        <v>756</v>
      </c>
      <c r="B177" t="s">
        <v>426</v>
      </c>
      <c r="C177" t="s">
        <v>765</v>
      </c>
      <c r="D177" t="s">
        <v>766</v>
      </c>
      <c r="E177" t="s">
        <v>765</v>
      </c>
      <c r="F177" s="633">
        <v>3.5</v>
      </c>
      <c r="G177" s="634">
        <v>0.73499999999999999</v>
      </c>
      <c r="H177" s="634">
        <v>0</v>
      </c>
      <c r="I177" s="633">
        <v>4.2350000000000003</v>
      </c>
    </row>
    <row r="178" spans="1:9" ht="15" customHeight="1" x14ac:dyDescent="0.25">
      <c r="A178" t="s">
        <v>756</v>
      </c>
      <c r="B178" t="s">
        <v>426</v>
      </c>
      <c r="C178" t="s">
        <v>767</v>
      </c>
      <c r="D178" t="s">
        <v>768</v>
      </c>
      <c r="E178" t="s">
        <v>767</v>
      </c>
      <c r="F178" s="633">
        <v>290</v>
      </c>
      <c r="G178" s="634">
        <v>60.9</v>
      </c>
      <c r="H178" s="634">
        <v>0</v>
      </c>
      <c r="I178" s="633">
        <v>350.9</v>
      </c>
    </row>
    <row r="179" spans="1:9" ht="15" customHeight="1" x14ac:dyDescent="0.25">
      <c r="A179" t="s">
        <v>756</v>
      </c>
      <c r="B179" t="s">
        <v>426</v>
      </c>
      <c r="C179" t="s">
        <v>769</v>
      </c>
      <c r="D179" t="s">
        <v>770</v>
      </c>
      <c r="E179" t="s">
        <v>769</v>
      </c>
      <c r="F179" s="633">
        <v>51</v>
      </c>
      <c r="G179" s="634">
        <v>10.71</v>
      </c>
      <c r="H179" s="634">
        <v>0</v>
      </c>
      <c r="I179" s="633">
        <v>61.71</v>
      </c>
    </row>
    <row r="180" spans="1:9" ht="15" customHeight="1" x14ac:dyDescent="0.25">
      <c r="A180" t="s">
        <v>756</v>
      </c>
      <c r="B180" t="s">
        <v>426</v>
      </c>
      <c r="C180" t="s">
        <v>771</v>
      </c>
      <c r="D180" t="s">
        <v>772</v>
      </c>
      <c r="E180" t="s">
        <v>771</v>
      </c>
      <c r="F180" s="633">
        <v>7.45</v>
      </c>
      <c r="G180" s="634">
        <v>1.5645</v>
      </c>
      <c r="H180" s="634">
        <v>0</v>
      </c>
      <c r="I180" s="633">
        <v>9.0145</v>
      </c>
    </row>
    <row r="181" spans="1:9" ht="15" customHeight="1" x14ac:dyDescent="0.25">
      <c r="A181" t="s">
        <v>756</v>
      </c>
      <c r="B181" t="s">
        <v>426</v>
      </c>
      <c r="C181" t="s">
        <v>773</v>
      </c>
      <c r="D181" t="s">
        <v>774</v>
      </c>
      <c r="E181" t="s">
        <v>773</v>
      </c>
      <c r="F181" s="633">
        <v>75.5</v>
      </c>
      <c r="G181" s="634">
        <v>15.855</v>
      </c>
      <c r="H181" s="634">
        <v>0</v>
      </c>
      <c r="I181" s="633">
        <v>91.355000000000004</v>
      </c>
    </row>
    <row r="182" spans="1:9" ht="15" customHeight="1" x14ac:dyDescent="0.25">
      <c r="A182" t="s">
        <v>756</v>
      </c>
      <c r="B182" t="s">
        <v>426</v>
      </c>
      <c r="C182" t="s">
        <v>775</v>
      </c>
      <c r="D182" t="s">
        <v>776</v>
      </c>
      <c r="E182" t="s">
        <v>775</v>
      </c>
      <c r="F182" s="633">
        <v>19</v>
      </c>
      <c r="G182" s="634">
        <v>3.99</v>
      </c>
      <c r="H182" s="634">
        <v>0</v>
      </c>
      <c r="I182" s="633">
        <v>22.99</v>
      </c>
    </row>
    <row r="183" spans="1:9" ht="15" customHeight="1" x14ac:dyDescent="0.25">
      <c r="A183" t="s">
        <v>756</v>
      </c>
      <c r="B183" t="s">
        <v>426</v>
      </c>
      <c r="C183" t="s">
        <v>777</v>
      </c>
      <c r="D183" t="s">
        <v>778</v>
      </c>
      <c r="E183" t="s">
        <v>777</v>
      </c>
      <c r="F183" s="633">
        <v>94.3</v>
      </c>
      <c r="G183" s="634">
        <v>19.803000000000001</v>
      </c>
      <c r="H183" s="634">
        <v>0</v>
      </c>
      <c r="I183" s="633">
        <v>114.10299999999999</v>
      </c>
    </row>
    <row r="184" spans="1:9" ht="15" customHeight="1" x14ac:dyDescent="0.25">
      <c r="A184" t="s">
        <v>756</v>
      </c>
      <c r="B184" t="s">
        <v>426</v>
      </c>
      <c r="C184" t="s">
        <v>17</v>
      </c>
      <c r="D184" t="s">
        <v>779</v>
      </c>
      <c r="E184" t="s">
        <v>17</v>
      </c>
      <c r="F184" s="633">
        <v>49.9</v>
      </c>
      <c r="G184" s="634">
        <v>10.478999999999999</v>
      </c>
      <c r="H184" s="634">
        <v>0</v>
      </c>
      <c r="I184" s="633">
        <v>60.378999999999998</v>
      </c>
    </row>
    <row r="185" spans="1:9" ht="15" customHeight="1" x14ac:dyDescent="0.25">
      <c r="A185" t="s">
        <v>756</v>
      </c>
      <c r="B185" t="s">
        <v>426</v>
      </c>
      <c r="C185" t="s">
        <v>780</v>
      </c>
      <c r="D185" t="s">
        <v>781</v>
      </c>
      <c r="E185" t="s">
        <v>780</v>
      </c>
      <c r="F185" s="633">
        <v>9.5</v>
      </c>
      <c r="G185" s="634">
        <v>1.9950000000000001</v>
      </c>
      <c r="H185" s="634">
        <v>0</v>
      </c>
      <c r="I185" s="633">
        <v>11.494999999999999</v>
      </c>
    </row>
    <row r="186" spans="1:9" ht="15" customHeight="1" x14ac:dyDescent="0.25">
      <c r="A186" t="s">
        <v>756</v>
      </c>
      <c r="B186" t="s">
        <v>426</v>
      </c>
      <c r="C186" t="s">
        <v>782</v>
      </c>
      <c r="D186" t="s">
        <v>783</v>
      </c>
      <c r="E186" t="s">
        <v>782</v>
      </c>
      <c r="F186" s="633">
        <v>125.8</v>
      </c>
      <c r="G186" s="634">
        <v>26.417999999999999</v>
      </c>
      <c r="H186" s="634">
        <v>0</v>
      </c>
      <c r="I186" s="633">
        <v>152.21799999999999</v>
      </c>
    </row>
    <row r="187" spans="1:9" ht="15" customHeight="1" x14ac:dyDescent="0.25">
      <c r="A187" t="s">
        <v>756</v>
      </c>
      <c r="B187" t="s">
        <v>426</v>
      </c>
      <c r="C187" t="s">
        <v>18</v>
      </c>
      <c r="D187" t="s">
        <v>784</v>
      </c>
      <c r="E187" t="s">
        <v>18</v>
      </c>
      <c r="F187" s="633">
        <v>31.73</v>
      </c>
      <c r="G187" s="634">
        <v>6.6632999999999996</v>
      </c>
      <c r="H187" s="634">
        <v>0</v>
      </c>
      <c r="I187" s="633">
        <v>38.393300000000004</v>
      </c>
    </row>
    <row r="188" spans="1:9" ht="15" customHeight="1" x14ac:dyDescent="0.25">
      <c r="A188" t="s">
        <v>756</v>
      </c>
      <c r="B188" t="s">
        <v>426</v>
      </c>
      <c r="C188" t="s">
        <v>785</v>
      </c>
      <c r="D188" t="s">
        <v>786</v>
      </c>
      <c r="E188" t="s">
        <v>785</v>
      </c>
      <c r="F188" s="633">
        <v>9.85</v>
      </c>
      <c r="G188" s="634">
        <v>2.0684999999999998</v>
      </c>
      <c r="H188" s="634">
        <v>0</v>
      </c>
      <c r="I188" s="633">
        <v>11.9185</v>
      </c>
    </row>
    <row r="189" spans="1:9" ht="15" customHeight="1" x14ac:dyDescent="0.25">
      <c r="A189" t="s">
        <v>756</v>
      </c>
      <c r="B189" t="s">
        <v>426</v>
      </c>
      <c r="C189" t="s">
        <v>787</v>
      </c>
      <c r="D189" t="s">
        <v>788</v>
      </c>
      <c r="E189" t="s">
        <v>787</v>
      </c>
      <c r="F189" s="633">
        <v>37.5</v>
      </c>
      <c r="G189" s="634">
        <v>7.875</v>
      </c>
      <c r="H189" s="634">
        <v>0</v>
      </c>
      <c r="I189" s="633">
        <v>45.375</v>
      </c>
    </row>
    <row r="190" spans="1:9" ht="15" customHeight="1" x14ac:dyDescent="0.25">
      <c r="A190" t="s">
        <v>756</v>
      </c>
      <c r="B190" t="s">
        <v>426</v>
      </c>
      <c r="C190" t="s">
        <v>789</v>
      </c>
      <c r="D190" t="s">
        <v>790</v>
      </c>
      <c r="E190" t="s">
        <v>789</v>
      </c>
      <c r="F190" s="633">
        <v>3.2</v>
      </c>
      <c r="G190" s="634">
        <v>0.67200000000000004</v>
      </c>
      <c r="H190" s="634">
        <v>0</v>
      </c>
      <c r="I190" s="633">
        <v>3.8719999999999999</v>
      </c>
    </row>
    <row r="191" spans="1:9" ht="15" customHeight="1" x14ac:dyDescent="0.25">
      <c r="A191" t="s">
        <v>756</v>
      </c>
      <c r="B191" t="s">
        <v>426</v>
      </c>
      <c r="C191" t="s">
        <v>791</v>
      </c>
      <c r="D191" t="s">
        <v>792</v>
      </c>
      <c r="E191" t="s">
        <v>791</v>
      </c>
      <c r="F191" s="633">
        <v>3.2</v>
      </c>
      <c r="G191" s="634">
        <v>0.67200000000000004</v>
      </c>
      <c r="H191" s="634">
        <v>0</v>
      </c>
      <c r="I191" s="633">
        <v>3.8719999999999999</v>
      </c>
    </row>
    <row r="192" spans="1:9" ht="15" customHeight="1" x14ac:dyDescent="0.25">
      <c r="A192" t="s">
        <v>756</v>
      </c>
      <c r="B192" t="s">
        <v>426</v>
      </c>
      <c r="C192" t="s">
        <v>793</v>
      </c>
      <c r="D192" t="s">
        <v>794</v>
      </c>
      <c r="E192" t="s">
        <v>793</v>
      </c>
      <c r="F192" s="633">
        <v>3.5</v>
      </c>
      <c r="G192" s="634">
        <v>0.73499999999999999</v>
      </c>
      <c r="H192" s="634">
        <v>0</v>
      </c>
      <c r="I192" s="633">
        <v>4.2350000000000003</v>
      </c>
    </row>
    <row r="193" spans="1:9" ht="15" customHeight="1" x14ac:dyDescent="0.25">
      <c r="A193" t="s">
        <v>756</v>
      </c>
      <c r="B193" t="s">
        <v>426</v>
      </c>
      <c r="C193" t="s">
        <v>795</v>
      </c>
      <c r="D193" t="s">
        <v>796</v>
      </c>
      <c r="E193" t="s">
        <v>795</v>
      </c>
      <c r="F193" s="633">
        <v>3.5</v>
      </c>
      <c r="G193" s="634">
        <v>0.73499999999999999</v>
      </c>
      <c r="H193" s="634">
        <v>0</v>
      </c>
      <c r="I193" s="633">
        <v>4.2350000000000003</v>
      </c>
    </row>
    <row r="194" spans="1:9" ht="15" customHeight="1" x14ac:dyDescent="0.25">
      <c r="A194" t="s">
        <v>756</v>
      </c>
      <c r="B194" t="s">
        <v>426</v>
      </c>
      <c r="C194" t="s">
        <v>797</v>
      </c>
      <c r="D194" t="s">
        <v>798</v>
      </c>
      <c r="E194" t="s">
        <v>797</v>
      </c>
      <c r="F194" s="633">
        <v>21.3</v>
      </c>
      <c r="G194" s="634">
        <v>4.4729999999999999</v>
      </c>
      <c r="H194" s="634">
        <v>0</v>
      </c>
      <c r="I194" s="633">
        <v>25.773</v>
      </c>
    </row>
    <row r="195" spans="1:9" ht="15" customHeight="1" x14ac:dyDescent="0.25">
      <c r="A195" t="s">
        <v>756</v>
      </c>
      <c r="B195" t="s">
        <v>426</v>
      </c>
      <c r="C195" t="s">
        <v>799</v>
      </c>
      <c r="D195" t="s">
        <v>800</v>
      </c>
      <c r="E195" t="s">
        <v>799</v>
      </c>
      <c r="F195" s="633">
        <v>4.5</v>
      </c>
      <c r="G195" s="634">
        <v>0.94499999999999995</v>
      </c>
      <c r="H195" s="634">
        <v>0</v>
      </c>
      <c r="I195" s="633">
        <v>5.4450000000000003</v>
      </c>
    </row>
    <row r="196" spans="1:9" ht="15" customHeight="1" x14ac:dyDescent="0.25">
      <c r="A196" t="s">
        <v>756</v>
      </c>
      <c r="B196" t="s">
        <v>426</v>
      </c>
      <c r="C196" t="s">
        <v>801</v>
      </c>
      <c r="D196" t="s">
        <v>802</v>
      </c>
      <c r="E196" t="s">
        <v>801</v>
      </c>
      <c r="F196" s="633">
        <v>80.5</v>
      </c>
      <c r="G196" s="634">
        <v>16.905000000000001</v>
      </c>
      <c r="H196" s="634">
        <v>0</v>
      </c>
      <c r="I196" s="633">
        <v>97.405000000000001</v>
      </c>
    </row>
    <row r="197" spans="1:9" ht="15" customHeight="1" x14ac:dyDescent="0.25">
      <c r="A197" t="s">
        <v>756</v>
      </c>
      <c r="B197" t="s">
        <v>426</v>
      </c>
      <c r="C197" t="s">
        <v>803</v>
      </c>
      <c r="D197" t="s">
        <v>804</v>
      </c>
      <c r="E197" t="s">
        <v>803</v>
      </c>
      <c r="F197" s="633">
        <v>450</v>
      </c>
      <c r="G197" s="634">
        <v>94.5</v>
      </c>
      <c r="H197" s="634">
        <v>0</v>
      </c>
      <c r="I197" s="633">
        <v>544.5</v>
      </c>
    </row>
    <row r="198" spans="1:9" ht="15" customHeight="1" x14ac:dyDescent="0.25">
      <c r="A198" t="s">
        <v>756</v>
      </c>
      <c r="B198" t="s">
        <v>426</v>
      </c>
      <c r="C198" t="s">
        <v>805</v>
      </c>
      <c r="D198" t="s">
        <v>806</v>
      </c>
      <c r="E198" t="s">
        <v>805</v>
      </c>
      <c r="F198" s="633">
        <v>3.5</v>
      </c>
      <c r="G198" s="634">
        <v>0.73499999999999999</v>
      </c>
      <c r="H198" s="634">
        <v>0</v>
      </c>
      <c r="I198" s="633">
        <v>4.2350000000000003</v>
      </c>
    </row>
    <row r="199" spans="1:9" ht="15" customHeight="1" x14ac:dyDescent="0.25">
      <c r="A199" t="s">
        <v>756</v>
      </c>
      <c r="B199" t="s">
        <v>426</v>
      </c>
      <c r="C199" t="s">
        <v>807</v>
      </c>
      <c r="D199" t="s">
        <v>808</v>
      </c>
      <c r="E199" t="s">
        <v>807</v>
      </c>
      <c r="F199" s="633">
        <v>4.0999999999999996</v>
      </c>
      <c r="G199" s="634">
        <v>0.86099999999999999</v>
      </c>
      <c r="H199" s="634">
        <v>0</v>
      </c>
      <c r="I199" s="633">
        <v>4.9610000000000003</v>
      </c>
    </row>
    <row r="200" spans="1:9" ht="15" customHeight="1" x14ac:dyDescent="0.25">
      <c r="A200" t="s">
        <v>756</v>
      </c>
      <c r="B200" t="s">
        <v>426</v>
      </c>
      <c r="C200" t="s">
        <v>809</v>
      </c>
      <c r="D200" t="s">
        <v>810</v>
      </c>
      <c r="E200" t="s">
        <v>809</v>
      </c>
      <c r="F200" s="633">
        <v>22</v>
      </c>
      <c r="G200" s="634">
        <v>4.62</v>
      </c>
      <c r="H200" s="634">
        <v>0</v>
      </c>
      <c r="I200" s="633">
        <v>26.62</v>
      </c>
    </row>
    <row r="201" spans="1:9" ht="15" customHeight="1" x14ac:dyDescent="0.25">
      <c r="A201" t="s">
        <v>756</v>
      </c>
      <c r="B201" t="s">
        <v>426</v>
      </c>
      <c r="C201" t="s">
        <v>811</v>
      </c>
      <c r="D201" t="s">
        <v>812</v>
      </c>
      <c r="E201" t="s">
        <v>811</v>
      </c>
      <c r="F201" s="633">
        <v>4.5999999999999996</v>
      </c>
      <c r="G201" s="634">
        <v>0.96599999999999997</v>
      </c>
      <c r="H201" s="634">
        <v>0</v>
      </c>
      <c r="I201" s="633">
        <v>5.5659999999999998</v>
      </c>
    </row>
    <row r="202" spans="1:9" ht="15" customHeight="1" x14ac:dyDescent="0.25">
      <c r="A202" t="s">
        <v>756</v>
      </c>
      <c r="B202" t="s">
        <v>426</v>
      </c>
      <c r="C202" t="s">
        <v>813</v>
      </c>
      <c r="D202" t="s">
        <v>814</v>
      </c>
      <c r="E202" t="s">
        <v>813</v>
      </c>
      <c r="F202" s="633">
        <v>22</v>
      </c>
      <c r="G202" s="634">
        <v>4.62</v>
      </c>
      <c r="H202" s="634">
        <v>0</v>
      </c>
      <c r="I202" s="633">
        <v>26.62</v>
      </c>
    </row>
    <row r="203" spans="1:9" ht="15" customHeight="1" x14ac:dyDescent="0.25">
      <c r="A203" t="s">
        <v>756</v>
      </c>
      <c r="B203" t="s">
        <v>426</v>
      </c>
      <c r="C203" t="s">
        <v>815</v>
      </c>
      <c r="D203" t="s">
        <v>816</v>
      </c>
      <c r="E203" t="s">
        <v>815</v>
      </c>
      <c r="F203" s="633">
        <v>270</v>
      </c>
      <c r="G203" s="634">
        <v>56.7</v>
      </c>
      <c r="H203" s="634">
        <v>0</v>
      </c>
      <c r="I203" s="633">
        <v>326.7</v>
      </c>
    </row>
    <row r="204" spans="1:9" ht="15" customHeight="1" x14ac:dyDescent="0.25">
      <c r="A204" t="s">
        <v>756</v>
      </c>
      <c r="B204" t="s">
        <v>426</v>
      </c>
      <c r="C204" t="s">
        <v>817</v>
      </c>
      <c r="D204" t="s">
        <v>818</v>
      </c>
      <c r="E204" t="s">
        <v>817</v>
      </c>
      <c r="F204" s="633">
        <v>41</v>
      </c>
      <c r="G204" s="634">
        <v>8.61</v>
      </c>
      <c r="H204" s="634">
        <v>0</v>
      </c>
      <c r="I204" s="633">
        <v>49.61</v>
      </c>
    </row>
    <row r="205" spans="1:9" ht="15" customHeight="1" x14ac:dyDescent="0.25">
      <c r="A205" t="s">
        <v>756</v>
      </c>
      <c r="B205" t="s">
        <v>426</v>
      </c>
      <c r="C205" t="s">
        <v>819</v>
      </c>
      <c r="D205" t="s">
        <v>820</v>
      </c>
      <c r="E205" t="s">
        <v>819</v>
      </c>
      <c r="F205" s="633">
        <v>229.5</v>
      </c>
      <c r="G205" s="634">
        <v>48.195</v>
      </c>
      <c r="H205" s="634">
        <v>0</v>
      </c>
      <c r="I205" s="633">
        <v>277.69499999999999</v>
      </c>
    </row>
    <row r="206" spans="1:9" ht="15" customHeight="1" x14ac:dyDescent="0.25">
      <c r="A206" t="s">
        <v>756</v>
      </c>
      <c r="B206" t="s">
        <v>426</v>
      </c>
      <c r="C206" t="s">
        <v>821</v>
      </c>
      <c r="D206" t="s">
        <v>822</v>
      </c>
      <c r="E206" t="s">
        <v>821</v>
      </c>
      <c r="F206" s="633">
        <v>18.5</v>
      </c>
      <c r="G206" s="634">
        <v>3.8849999999999998</v>
      </c>
      <c r="H206" s="634">
        <v>0</v>
      </c>
      <c r="I206" s="633">
        <v>22.385000000000002</v>
      </c>
    </row>
    <row r="207" spans="1:9" ht="15" customHeight="1" x14ac:dyDescent="0.25">
      <c r="A207" t="s">
        <v>756</v>
      </c>
      <c r="B207" t="s">
        <v>426</v>
      </c>
      <c r="C207" t="s">
        <v>823</v>
      </c>
      <c r="D207" t="s">
        <v>824</v>
      </c>
      <c r="E207" t="s">
        <v>823</v>
      </c>
      <c r="F207" s="633">
        <v>200</v>
      </c>
      <c r="G207" s="634">
        <v>42</v>
      </c>
      <c r="H207" s="634">
        <v>0</v>
      </c>
      <c r="I207" s="633">
        <v>242</v>
      </c>
    </row>
    <row r="208" spans="1:9" ht="15" customHeight="1" x14ac:dyDescent="0.25">
      <c r="A208" t="s">
        <v>756</v>
      </c>
      <c r="B208" t="s">
        <v>426</v>
      </c>
      <c r="C208" t="s">
        <v>825</v>
      </c>
      <c r="D208" t="s">
        <v>826</v>
      </c>
      <c r="E208" t="s">
        <v>825</v>
      </c>
      <c r="F208" s="633">
        <v>200</v>
      </c>
      <c r="G208" s="634">
        <v>42</v>
      </c>
      <c r="H208" s="634">
        <v>0</v>
      </c>
      <c r="I208" s="633">
        <v>242</v>
      </c>
    </row>
    <row r="209" spans="1:9" ht="15" customHeight="1" x14ac:dyDescent="0.25">
      <c r="A209" t="s">
        <v>756</v>
      </c>
      <c r="B209" t="s">
        <v>426</v>
      </c>
      <c r="C209" t="s">
        <v>827</v>
      </c>
      <c r="D209" t="s">
        <v>828</v>
      </c>
      <c r="E209" t="s">
        <v>827</v>
      </c>
      <c r="F209" s="633">
        <v>288</v>
      </c>
      <c r="G209" s="634">
        <v>60.48</v>
      </c>
      <c r="H209" s="634">
        <v>0</v>
      </c>
      <c r="I209" s="633">
        <v>348.48</v>
      </c>
    </row>
    <row r="210" spans="1:9" ht="15" customHeight="1" x14ac:dyDescent="0.25">
      <c r="A210" t="s">
        <v>756</v>
      </c>
      <c r="B210" t="s">
        <v>426</v>
      </c>
      <c r="C210" t="s">
        <v>829</v>
      </c>
      <c r="D210" t="s">
        <v>830</v>
      </c>
      <c r="E210" t="s">
        <v>829</v>
      </c>
      <c r="F210" s="633">
        <v>22.6</v>
      </c>
      <c r="G210" s="634">
        <v>4.7460000000000004</v>
      </c>
      <c r="H210" s="634">
        <v>0</v>
      </c>
      <c r="I210" s="633">
        <v>27.346</v>
      </c>
    </row>
    <row r="211" spans="1:9" ht="15" customHeight="1" x14ac:dyDescent="0.25">
      <c r="A211" t="s">
        <v>756</v>
      </c>
      <c r="B211" t="s">
        <v>426</v>
      </c>
      <c r="C211" t="s">
        <v>831</v>
      </c>
      <c r="D211" t="s">
        <v>832</v>
      </c>
      <c r="E211" t="s">
        <v>831</v>
      </c>
      <c r="F211" s="633">
        <v>5.9</v>
      </c>
      <c r="G211" s="634">
        <v>1.2390000000000001</v>
      </c>
      <c r="H211" s="634">
        <v>0</v>
      </c>
      <c r="I211" s="633">
        <v>7.1390000000000002</v>
      </c>
    </row>
    <row r="212" spans="1:9" ht="15" customHeight="1" x14ac:dyDescent="0.25">
      <c r="A212" t="s">
        <v>756</v>
      </c>
      <c r="B212" t="s">
        <v>426</v>
      </c>
      <c r="C212" t="s">
        <v>833</v>
      </c>
      <c r="D212" t="s">
        <v>834</v>
      </c>
      <c r="E212" t="s">
        <v>833</v>
      </c>
      <c r="F212" s="633">
        <v>3.75</v>
      </c>
      <c r="G212" s="634">
        <v>0.78749999999999998</v>
      </c>
      <c r="H212" s="634">
        <v>0</v>
      </c>
      <c r="I212" s="633">
        <v>4.5374999999999996</v>
      </c>
    </row>
    <row r="213" spans="1:9" ht="15" customHeight="1" x14ac:dyDescent="0.25">
      <c r="A213" t="s">
        <v>756</v>
      </c>
      <c r="B213" t="s">
        <v>426</v>
      </c>
      <c r="C213" t="s">
        <v>21</v>
      </c>
      <c r="D213" t="s">
        <v>835</v>
      </c>
      <c r="E213" t="s">
        <v>21</v>
      </c>
      <c r="F213" s="633">
        <v>4.45</v>
      </c>
      <c r="G213" s="634">
        <v>0.9345</v>
      </c>
      <c r="H213" s="634">
        <v>0</v>
      </c>
      <c r="I213" s="633">
        <v>5.3845000000000001</v>
      </c>
    </row>
    <row r="214" spans="1:9" ht="15" customHeight="1" x14ac:dyDescent="0.25">
      <c r="A214" t="s">
        <v>756</v>
      </c>
      <c r="B214" t="s">
        <v>426</v>
      </c>
      <c r="C214" t="s">
        <v>836</v>
      </c>
      <c r="D214" t="s">
        <v>837</v>
      </c>
      <c r="E214" t="s">
        <v>836</v>
      </c>
      <c r="F214" s="633">
        <v>5.6</v>
      </c>
      <c r="G214" s="634">
        <v>1.1759999999999999</v>
      </c>
      <c r="H214" s="634">
        <v>0</v>
      </c>
      <c r="I214" s="633">
        <v>6.7759999999999998</v>
      </c>
    </row>
    <row r="215" spans="1:9" ht="15" customHeight="1" x14ac:dyDescent="0.25">
      <c r="A215" t="s">
        <v>756</v>
      </c>
      <c r="B215" t="s">
        <v>426</v>
      </c>
      <c r="C215" t="s">
        <v>838</v>
      </c>
      <c r="D215" t="s">
        <v>839</v>
      </c>
      <c r="E215" t="s">
        <v>838</v>
      </c>
      <c r="F215" s="633">
        <v>5.45</v>
      </c>
      <c r="G215" s="634">
        <v>1.1445000000000001</v>
      </c>
      <c r="H215" s="634">
        <v>0</v>
      </c>
      <c r="I215" s="633">
        <v>6.5945</v>
      </c>
    </row>
    <row r="216" spans="1:9" ht="15" customHeight="1" x14ac:dyDescent="0.25">
      <c r="A216" t="s">
        <v>756</v>
      </c>
      <c r="B216" t="s">
        <v>426</v>
      </c>
      <c r="C216" t="s">
        <v>840</v>
      </c>
      <c r="D216" t="s">
        <v>841</v>
      </c>
      <c r="E216" t="s">
        <v>840</v>
      </c>
      <c r="F216" s="633">
        <v>6.75</v>
      </c>
      <c r="G216" s="634">
        <v>1.4175</v>
      </c>
      <c r="H216" s="634">
        <v>0</v>
      </c>
      <c r="I216" s="633">
        <v>8.1675000000000004</v>
      </c>
    </row>
    <row r="217" spans="1:9" ht="15" customHeight="1" x14ac:dyDescent="0.25">
      <c r="A217" t="s">
        <v>756</v>
      </c>
      <c r="B217" t="s">
        <v>426</v>
      </c>
      <c r="C217" t="s">
        <v>842</v>
      </c>
      <c r="D217" t="s">
        <v>843</v>
      </c>
      <c r="E217" t="s">
        <v>842</v>
      </c>
      <c r="F217" s="633">
        <v>7.65</v>
      </c>
      <c r="G217" s="634">
        <v>1.6065</v>
      </c>
      <c r="H217" s="634">
        <v>0</v>
      </c>
      <c r="I217" s="633">
        <v>9.2565000000000008</v>
      </c>
    </row>
    <row r="218" spans="1:9" ht="15" customHeight="1" x14ac:dyDescent="0.25">
      <c r="A218" t="s">
        <v>756</v>
      </c>
      <c r="B218" t="s">
        <v>426</v>
      </c>
      <c r="C218" t="s">
        <v>844</v>
      </c>
      <c r="D218" t="s">
        <v>845</v>
      </c>
      <c r="E218" t="s">
        <v>844</v>
      </c>
      <c r="F218" s="633">
        <v>295.7</v>
      </c>
      <c r="G218" s="634">
        <v>62.097000000000001</v>
      </c>
      <c r="H218" s="634">
        <v>0</v>
      </c>
      <c r="I218" s="633">
        <v>357.79700000000003</v>
      </c>
    </row>
    <row r="219" spans="1:9" ht="15" customHeight="1" x14ac:dyDescent="0.25">
      <c r="A219" t="s">
        <v>756</v>
      </c>
      <c r="B219" t="s">
        <v>426</v>
      </c>
      <c r="C219" t="s">
        <v>846</v>
      </c>
      <c r="D219" t="s">
        <v>847</v>
      </c>
      <c r="E219" t="s">
        <v>846</v>
      </c>
      <c r="F219" s="633">
        <v>313.60000000000002</v>
      </c>
      <c r="G219" s="634">
        <v>65.855999999999995</v>
      </c>
      <c r="H219" s="634">
        <v>0</v>
      </c>
      <c r="I219" s="633">
        <v>379.45600000000002</v>
      </c>
    </row>
    <row r="220" spans="1:9" ht="15" customHeight="1" x14ac:dyDescent="0.25">
      <c r="A220" t="s">
        <v>756</v>
      </c>
      <c r="B220" t="s">
        <v>426</v>
      </c>
      <c r="C220" t="s">
        <v>848</v>
      </c>
      <c r="D220" t="s">
        <v>849</v>
      </c>
      <c r="E220" t="s">
        <v>848</v>
      </c>
      <c r="F220" s="633">
        <v>7</v>
      </c>
      <c r="G220" s="634">
        <v>1.47</v>
      </c>
      <c r="H220" s="634">
        <v>0</v>
      </c>
      <c r="I220" s="633">
        <v>8.4700000000000006</v>
      </c>
    </row>
    <row r="221" spans="1:9" ht="15" customHeight="1" x14ac:dyDescent="0.25">
      <c r="A221" t="s">
        <v>756</v>
      </c>
      <c r="B221" t="s">
        <v>426</v>
      </c>
      <c r="C221" t="s">
        <v>850</v>
      </c>
      <c r="D221" t="s">
        <v>851</v>
      </c>
      <c r="E221" t="s">
        <v>850</v>
      </c>
      <c r="F221" s="633">
        <v>10.7</v>
      </c>
      <c r="G221" s="634">
        <v>2.2469999999999999</v>
      </c>
      <c r="H221" s="634">
        <v>0</v>
      </c>
      <c r="I221" s="633">
        <v>12.946999999999999</v>
      </c>
    </row>
    <row r="222" spans="1:9" ht="15" customHeight="1" x14ac:dyDescent="0.25">
      <c r="A222" t="s">
        <v>756</v>
      </c>
      <c r="B222" t="s">
        <v>426</v>
      </c>
      <c r="C222" t="s">
        <v>852</v>
      </c>
      <c r="D222" t="s">
        <v>853</v>
      </c>
      <c r="E222" t="s">
        <v>852</v>
      </c>
      <c r="F222" s="633">
        <v>11.5</v>
      </c>
      <c r="G222" s="634">
        <v>2.415</v>
      </c>
      <c r="H222" s="634">
        <v>0</v>
      </c>
      <c r="I222" s="633">
        <v>13.914999999999999</v>
      </c>
    </row>
    <row r="223" spans="1:9" ht="15" customHeight="1" x14ac:dyDescent="0.25">
      <c r="A223" t="s">
        <v>854</v>
      </c>
      <c r="B223" t="s">
        <v>426</v>
      </c>
      <c r="C223" t="s">
        <v>855</v>
      </c>
      <c r="D223" t="s">
        <v>856</v>
      </c>
      <c r="E223" t="s">
        <v>855</v>
      </c>
      <c r="F223" s="633">
        <v>2.6</v>
      </c>
      <c r="G223" s="634">
        <v>0.54600000000000004</v>
      </c>
      <c r="H223" s="634">
        <v>0</v>
      </c>
      <c r="I223" s="633">
        <v>3.1459999999999999</v>
      </c>
    </row>
    <row r="224" spans="1:9" ht="15" customHeight="1" x14ac:dyDescent="0.25">
      <c r="A224" t="s">
        <v>854</v>
      </c>
      <c r="B224" t="s">
        <v>426</v>
      </c>
      <c r="C224" t="s">
        <v>857</v>
      </c>
      <c r="D224" t="s">
        <v>858</v>
      </c>
      <c r="E224" t="s">
        <v>857</v>
      </c>
      <c r="F224" s="633">
        <v>3.1</v>
      </c>
      <c r="G224" s="634">
        <v>0.65100000000000002</v>
      </c>
      <c r="H224" s="634">
        <v>0</v>
      </c>
      <c r="I224" s="633">
        <v>3.7509999999999999</v>
      </c>
    </row>
    <row r="225" spans="1:9" ht="15" customHeight="1" x14ac:dyDescent="0.25">
      <c r="A225" t="s">
        <v>854</v>
      </c>
      <c r="B225" t="s">
        <v>426</v>
      </c>
      <c r="C225" t="s">
        <v>859</v>
      </c>
      <c r="D225" t="s">
        <v>860</v>
      </c>
      <c r="E225" t="s">
        <v>859</v>
      </c>
      <c r="F225" s="633">
        <v>2.75</v>
      </c>
      <c r="G225" s="634">
        <v>0.57750000000000001</v>
      </c>
      <c r="H225" s="634">
        <v>0</v>
      </c>
      <c r="I225" s="633">
        <v>3.3275000000000001</v>
      </c>
    </row>
    <row r="226" spans="1:9" ht="15" customHeight="1" x14ac:dyDescent="0.25">
      <c r="A226" t="s">
        <v>854</v>
      </c>
      <c r="B226" t="s">
        <v>426</v>
      </c>
      <c r="C226" t="s">
        <v>861</v>
      </c>
      <c r="D226" t="s">
        <v>862</v>
      </c>
      <c r="E226" t="s">
        <v>861</v>
      </c>
      <c r="F226" s="633">
        <v>21.63</v>
      </c>
      <c r="G226" s="634">
        <v>4.5423</v>
      </c>
      <c r="H226" s="634">
        <v>0</v>
      </c>
      <c r="I226" s="633">
        <v>26.1723</v>
      </c>
    </row>
    <row r="227" spans="1:9" ht="15" customHeight="1" x14ac:dyDescent="0.25">
      <c r="A227" t="s">
        <v>854</v>
      </c>
      <c r="B227" t="s">
        <v>426</v>
      </c>
      <c r="C227" t="s">
        <v>863</v>
      </c>
      <c r="D227" t="s">
        <v>864</v>
      </c>
      <c r="E227" t="s">
        <v>863</v>
      </c>
      <c r="F227" s="633">
        <v>16.54</v>
      </c>
      <c r="G227" s="634">
        <v>3.4733999999999998</v>
      </c>
      <c r="H227" s="634">
        <v>0</v>
      </c>
      <c r="I227" s="633">
        <v>20.013400000000001</v>
      </c>
    </row>
    <row r="228" spans="1:9" ht="15" customHeight="1" x14ac:dyDescent="0.25">
      <c r="A228" t="s">
        <v>854</v>
      </c>
      <c r="B228" t="s">
        <v>426</v>
      </c>
      <c r="C228" t="s">
        <v>865</v>
      </c>
      <c r="D228" t="s">
        <v>866</v>
      </c>
      <c r="E228" t="s">
        <v>865</v>
      </c>
      <c r="F228" s="633">
        <v>5.0999999999999996</v>
      </c>
      <c r="G228" s="634">
        <v>1.071</v>
      </c>
      <c r="H228" s="634">
        <v>0</v>
      </c>
      <c r="I228" s="633">
        <v>6.1710000000000003</v>
      </c>
    </row>
    <row r="229" spans="1:9" ht="15" customHeight="1" x14ac:dyDescent="0.25">
      <c r="A229" t="s">
        <v>854</v>
      </c>
      <c r="B229" t="s">
        <v>426</v>
      </c>
      <c r="C229" t="s">
        <v>12</v>
      </c>
      <c r="D229" t="s">
        <v>867</v>
      </c>
      <c r="E229" t="s">
        <v>12</v>
      </c>
      <c r="F229" s="633">
        <v>38</v>
      </c>
      <c r="G229" s="634">
        <v>7.98</v>
      </c>
      <c r="H229" s="634">
        <v>0</v>
      </c>
      <c r="I229" s="633">
        <v>45.98</v>
      </c>
    </row>
    <row r="230" spans="1:9" ht="15" customHeight="1" x14ac:dyDescent="0.25">
      <c r="A230" t="s">
        <v>854</v>
      </c>
      <c r="B230" t="s">
        <v>426</v>
      </c>
      <c r="C230" t="s">
        <v>868</v>
      </c>
      <c r="D230" t="s">
        <v>869</v>
      </c>
      <c r="E230" t="s">
        <v>868</v>
      </c>
      <c r="F230" s="633">
        <v>34.619999999999997</v>
      </c>
      <c r="G230" s="634">
        <v>7.2702</v>
      </c>
      <c r="H230" s="634">
        <v>0</v>
      </c>
      <c r="I230" s="633">
        <v>41.8902</v>
      </c>
    </row>
    <row r="231" spans="1:9" ht="15" customHeight="1" x14ac:dyDescent="0.25">
      <c r="A231" t="s">
        <v>854</v>
      </c>
      <c r="B231" t="s">
        <v>426</v>
      </c>
      <c r="C231" t="s">
        <v>870</v>
      </c>
      <c r="D231" t="s">
        <v>871</v>
      </c>
      <c r="E231" t="s">
        <v>870</v>
      </c>
      <c r="F231" s="633">
        <v>28.3</v>
      </c>
      <c r="G231" s="634">
        <v>5.9429999999999996</v>
      </c>
      <c r="H231" s="634">
        <v>0</v>
      </c>
      <c r="I231" s="633">
        <v>34.243000000000002</v>
      </c>
    </row>
    <row r="232" spans="1:9" ht="15" customHeight="1" x14ac:dyDescent="0.25">
      <c r="A232" t="s">
        <v>854</v>
      </c>
      <c r="B232" t="s">
        <v>426</v>
      </c>
      <c r="C232" t="s">
        <v>872</v>
      </c>
      <c r="D232" t="s">
        <v>873</v>
      </c>
      <c r="E232" t="s">
        <v>872</v>
      </c>
      <c r="F232" s="633">
        <v>29.3</v>
      </c>
      <c r="G232" s="634">
        <v>6.1529999999999996</v>
      </c>
      <c r="H232" s="634">
        <v>0</v>
      </c>
      <c r="I232" s="633">
        <v>35.453000000000003</v>
      </c>
    </row>
    <row r="233" spans="1:9" ht="15" customHeight="1" x14ac:dyDescent="0.25">
      <c r="A233" t="s">
        <v>854</v>
      </c>
      <c r="B233" t="s">
        <v>426</v>
      </c>
      <c r="C233" t="s">
        <v>874</v>
      </c>
      <c r="D233" t="s">
        <v>875</v>
      </c>
      <c r="E233" t="s">
        <v>874</v>
      </c>
      <c r="F233" s="633">
        <v>12.5</v>
      </c>
      <c r="G233" s="634">
        <v>2.625</v>
      </c>
      <c r="H233" s="634">
        <v>0</v>
      </c>
      <c r="I233" s="633">
        <v>15.125</v>
      </c>
    </row>
    <row r="234" spans="1:9" ht="15" customHeight="1" x14ac:dyDescent="0.25">
      <c r="A234" t="s">
        <v>854</v>
      </c>
      <c r="B234" t="s">
        <v>426</v>
      </c>
      <c r="C234" t="s">
        <v>876</v>
      </c>
      <c r="D234" t="s">
        <v>877</v>
      </c>
      <c r="E234" t="s">
        <v>876</v>
      </c>
      <c r="F234" s="633">
        <v>9.8000000000000007</v>
      </c>
      <c r="G234" s="634">
        <v>2.0579999999999998</v>
      </c>
      <c r="H234" s="634">
        <v>0</v>
      </c>
      <c r="I234" s="633">
        <v>11.858000000000001</v>
      </c>
    </row>
    <row r="235" spans="1:9" ht="15" customHeight="1" x14ac:dyDescent="0.25">
      <c r="A235" t="s">
        <v>854</v>
      </c>
      <c r="B235" t="s">
        <v>426</v>
      </c>
      <c r="C235" t="s">
        <v>878</v>
      </c>
      <c r="D235" t="s">
        <v>879</v>
      </c>
      <c r="E235" t="s">
        <v>878</v>
      </c>
      <c r="F235" s="633">
        <v>4</v>
      </c>
      <c r="G235" s="634">
        <v>0.84</v>
      </c>
      <c r="H235" s="634">
        <v>0</v>
      </c>
      <c r="I235" s="633">
        <v>4.84</v>
      </c>
    </row>
    <row r="236" spans="1:9" ht="15" customHeight="1" x14ac:dyDescent="0.25">
      <c r="A236" t="s">
        <v>854</v>
      </c>
      <c r="B236" t="s">
        <v>426</v>
      </c>
      <c r="C236" t="s">
        <v>880</v>
      </c>
      <c r="D236" t="s">
        <v>881</v>
      </c>
      <c r="E236" t="s">
        <v>880</v>
      </c>
      <c r="F236" s="633">
        <v>4.13</v>
      </c>
      <c r="G236" s="634">
        <v>0.86729999999999996</v>
      </c>
      <c r="H236" s="634">
        <v>0</v>
      </c>
      <c r="I236" s="633">
        <v>4.9973000000000001</v>
      </c>
    </row>
    <row r="237" spans="1:9" ht="15" customHeight="1" x14ac:dyDescent="0.25">
      <c r="A237" t="s">
        <v>854</v>
      </c>
      <c r="B237" t="s">
        <v>426</v>
      </c>
      <c r="C237" t="s">
        <v>882</v>
      </c>
      <c r="D237" t="s">
        <v>883</v>
      </c>
      <c r="E237" t="s">
        <v>882</v>
      </c>
      <c r="F237" s="633">
        <v>31.25</v>
      </c>
      <c r="G237" s="634">
        <v>6.5625</v>
      </c>
      <c r="H237" s="634">
        <v>0</v>
      </c>
      <c r="I237" s="633">
        <v>37.8125</v>
      </c>
    </row>
    <row r="238" spans="1:9" ht="15" customHeight="1" x14ac:dyDescent="0.25">
      <c r="A238" t="s">
        <v>854</v>
      </c>
      <c r="B238" t="s">
        <v>426</v>
      </c>
      <c r="C238" t="s">
        <v>884</v>
      </c>
      <c r="D238" t="s">
        <v>885</v>
      </c>
      <c r="E238" t="s">
        <v>884</v>
      </c>
      <c r="F238" s="633">
        <v>42</v>
      </c>
      <c r="G238" s="634">
        <v>8.82</v>
      </c>
      <c r="H238" s="634">
        <v>0</v>
      </c>
      <c r="I238" s="633">
        <v>50.82</v>
      </c>
    </row>
    <row r="239" spans="1:9" ht="15" customHeight="1" x14ac:dyDescent="0.25">
      <c r="A239" t="s">
        <v>854</v>
      </c>
      <c r="B239" t="s">
        <v>426</v>
      </c>
      <c r="C239" t="s">
        <v>886</v>
      </c>
      <c r="D239" t="s">
        <v>887</v>
      </c>
      <c r="E239" t="s">
        <v>886</v>
      </c>
      <c r="F239" s="633">
        <v>1.5</v>
      </c>
      <c r="G239" s="634">
        <v>0.1575</v>
      </c>
      <c r="H239" s="634">
        <v>0</v>
      </c>
      <c r="I239" s="633">
        <v>1.6575</v>
      </c>
    </row>
    <row r="240" spans="1:9" ht="15" customHeight="1" x14ac:dyDescent="0.25">
      <c r="A240" t="s">
        <v>854</v>
      </c>
      <c r="B240" t="s">
        <v>426</v>
      </c>
      <c r="C240" t="s">
        <v>888</v>
      </c>
      <c r="D240" t="s">
        <v>889</v>
      </c>
      <c r="E240" t="s">
        <v>888</v>
      </c>
      <c r="F240" s="633">
        <v>3.6</v>
      </c>
      <c r="G240" s="634">
        <v>0.75600000000000001</v>
      </c>
      <c r="H240" s="634">
        <v>0</v>
      </c>
      <c r="I240" s="633">
        <v>4.3559999999999999</v>
      </c>
    </row>
    <row r="241" spans="1:9" ht="15" customHeight="1" x14ac:dyDescent="0.25">
      <c r="A241" t="s">
        <v>854</v>
      </c>
      <c r="B241" t="s">
        <v>426</v>
      </c>
      <c r="C241" t="s">
        <v>890</v>
      </c>
      <c r="D241" t="s">
        <v>891</v>
      </c>
      <c r="E241" t="s">
        <v>890</v>
      </c>
      <c r="F241" s="633">
        <v>1.1499999999999999</v>
      </c>
      <c r="G241" s="634">
        <v>0.12075</v>
      </c>
      <c r="H241" s="634">
        <v>0</v>
      </c>
      <c r="I241" s="633">
        <v>1.27075</v>
      </c>
    </row>
    <row r="242" spans="1:9" ht="15" customHeight="1" x14ac:dyDescent="0.25">
      <c r="A242" t="s">
        <v>854</v>
      </c>
      <c r="B242" t="s">
        <v>426</v>
      </c>
      <c r="C242" t="s">
        <v>892</v>
      </c>
      <c r="D242" t="s">
        <v>893</v>
      </c>
      <c r="E242" t="s">
        <v>892</v>
      </c>
      <c r="F242" s="633">
        <v>40</v>
      </c>
      <c r="G242" s="634">
        <v>4.2</v>
      </c>
      <c r="H242" s="634">
        <v>0</v>
      </c>
      <c r="I242" s="633">
        <v>44.2</v>
      </c>
    </row>
    <row r="243" spans="1:9" ht="15" customHeight="1" x14ac:dyDescent="0.25">
      <c r="A243" t="s">
        <v>854</v>
      </c>
      <c r="B243" t="s">
        <v>426</v>
      </c>
      <c r="C243" t="s">
        <v>894</v>
      </c>
      <c r="D243" t="s">
        <v>895</v>
      </c>
      <c r="E243" t="s">
        <v>894</v>
      </c>
      <c r="F243" s="633">
        <v>4.04</v>
      </c>
      <c r="G243" s="634">
        <v>0.42420000000000002</v>
      </c>
      <c r="H243" s="634">
        <v>0</v>
      </c>
      <c r="I243" s="633">
        <v>4.4641999999999999</v>
      </c>
    </row>
    <row r="244" spans="1:9" ht="15" customHeight="1" x14ac:dyDescent="0.25">
      <c r="A244" t="s">
        <v>854</v>
      </c>
      <c r="B244" t="s">
        <v>426</v>
      </c>
      <c r="C244" t="s">
        <v>896</v>
      </c>
      <c r="D244" t="s">
        <v>897</v>
      </c>
      <c r="E244" t="s">
        <v>896</v>
      </c>
      <c r="F244" s="633">
        <v>4.04</v>
      </c>
      <c r="G244" s="634">
        <v>0.42420000000000002</v>
      </c>
      <c r="H244" s="634">
        <v>0</v>
      </c>
      <c r="I244" s="633">
        <v>4.4641999999999999</v>
      </c>
    </row>
    <row r="245" spans="1:9" ht="15" customHeight="1" x14ac:dyDescent="0.25">
      <c r="A245" t="s">
        <v>854</v>
      </c>
      <c r="B245" t="s">
        <v>426</v>
      </c>
      <c r="C245" t="s">
        <v>898</v>
      </c>
      <c r="D245" t="s">
        <v>899</v>
      </c>
      <c r="E245" t="s">
        <v>898</v>
      </c>
      <c r="F245" s="633">
        <v>24</v>
      </c>
      <c r="G245" s="634">
        <v>2.52</v>
      </c>
      <c r="H245" s="634">
        <v>0</v>
      </c>
      <c r="I245" s="633">
        <v>26.52</v>
      </c>
    </row>
    <row r="246" spans="1:9" ht="15" customHeight="1" x14ac:dyDescent="0.25">
      <c r="A246" t="s">
        <v>854</v>
      </c>
      <c r="B246" t="s">
        <v>426</v>
      </c>
      <c r="C246" t="s">
        <v>900</v>
      </c>
      <c r="D246" t="s">
        <v>901</v>
      </c>
      <c r="E246" t="s">
        <v>900</v>
      </c>
      <c r="F246" s="633">
        <v>49</v>
      </c>
      <c r="G246" s="634">
        <v>5.1449999999999996</v>
      </c>
      <c r="H246" s="634">
        <v>0</v>
      </c>
      <c r="I246" s="633">
        <v>54.145000000000003</v>
      </c>
    </row>
    <row r="247" spans="1:9" ht="15" customHeight="1" x14ac:dyDescent="0.25">
      <c r="A247" t="s">
        <v>854</v>
      </c>
      <c r="B247" t="s">
        <v>426</v>
      </c>
      <c r="C247" t="s">
        <v>902</v>
      </c>
      <c r="D247" t="s">
        <v>903</v>
      </c>
      <c r="E247" t="s">
        <v>902</v>
      </c>
      <c r="F247" s="633">
        <v>61</v>
      </c>
      <c r="G247" s="634">
        <v>6.4050000000000002</v>
      </c>
      <c r="H247" s="634">
        <v>0</v>
      </c>
      <c r="I247" s="633">
        <v>67.405000000000001</v>
      </c>
    </row>
    <row r="248" spans="1:9" ht="15" customHeight="1" x14ac:dyDescent="0.25">
      <c r="A248" t="s">
        <v>854</v>
      </c>
      <c r="B248" t="s">
        <v>426</v>
      </c>
      <c r="C248" t="s">
        <v>904</v>
      </c>
      <c r="D248" t="s">
        <v>905</v>
      </c>
      <c r="E248" t="s">
        <v>904</v>
      </c>
      <c r="F248" s="633">
        <v>33</v>
      </c>
      <c r="G248" s="634">
        <v>3.4649999999999999</v>
      </c>
      <c r="H248" s="634">
        <v>0</v>
      </c>
      <c r="I248" s="633">
        <v>36.465000000000003</v>
      </c>
    </row>
    <row r="249" spans="1:9" ht="15" customHeight="1" x14ac:dyDescent="0.25">
      <c r="A249" t="s">
        <v>854</v>
      </c>
      <c r="B249" t="s">
        <v>426</v>
      </c>
      <c r="C249" t="s">
        <v>906</v>
      </c>
      <c r="D249" t="s">
        <v>907</v>
      </c>
      <c r="E249" t="s">
        <v>906</v>
      </c>
      <c r="F249" s="633">
        <v>19.2</v>
      </c>
      <c r="G249" s="634">
        <v>2.016</v>
      </c>
      <c r="H249" s="634">
        <v>0</v>
      </c>
      <c r="I249" s="633">
        <v>21.216000000000001</v>
      </c>
    </row>
    <row r="250" spans="1:9" ht="15" customHeight="1" x14ac:dyDescent="0.25">
      <c r="A250" t="s">
        <v>854</v>
      </c>
      <c r="B250" t="s">
        <v>426</v>
      </c>
      <c r="C250" t="s">
        <v>908</v>
      </c>
      <c r="D250" t="s">
        <v>909</v>
      </c>
      <c r="E250" t="s">
        <v>908</v>
      </c>
      <c r="F250" s="633">
        <v>12.5</v>
      </c>
      <c r="G250" s="634">
        <v>2.625</v>
      </c>
      <c r="H250" s="634">
        <v>0</v>
      </c>
      <c r="I250" s="633">
        <v>15.125</v>
      </c>
    </row>
    <row r="251" spans="1:9" ht="15" customHeight="1" x14ac:dyDescent="0.25">
      <c r="A251" t="s">
        <v>854</v>
      </c>
      <c r="B251" t="s">
        <v>426</v>
      </c>
      <c r="C251" t="s">
        <v>910</v>
      </c>
      <c r="D251" t="s">
        <v>911</v>
      </c>
      <c r="E251" t="s">
        <v>910</v>
      </c>
      <c r="F251" s="633">
        <v>2.6</v>
      </c>
      <c r="G251" s="634">
        <v>0.27300000000000002</v>
      </c>
      <c r="H251" s="634">
        <v>0</v>
      </c>
      <c r="I251" s="633">
        <v>2.8730000000000002</v>
      </c>
    </row>
    <row r="252" spans="1:9" ht="15" customHeight="1" x14ac:dyDescent="0.25">
      <c r="A252" t="s">
        <v>854</v>
      </c>
      <c r="B252" t="s">
        <v>426</v>
      </c>
      <c r="C252" t="s">
        <v>912</v>
      </c>
      <c r="D252" t="s">
        <v>913</v>
      </c>
      <c r="E252" t="s">
        <v>912</v>
      </c>
      <c r="F252" s="633">
        <v>3.75</v>
      </c>
      <c r="G252" s="634">
        <v>0.78749999999999998</v>
      </c>
      <c r="H252" s="634">
        <v>0</v>
      </c>
      <c r="I252" s="633">
        <v>4.5374999999999996</v>
      </c>
    </row>
    <row r="253" spans="1:9" ht="15" customHeight="1" x14ac:dyDescent="0.25">
      <c r="A253" t="s">
        <v>854</v>
      </c>
      <c r="B253" t="s">
        <v>426</v>
      </c>
      <c r="C253" t="s">
        <v>914</v>
      </c>
      <c r="D253" t="s">
        <v>915</v>
      </c>
      <c r="E253" t="s">
        <v>914</v>
      </c>
      <c r="F253" s="633">
        <v>15</v>
      </c>
      <c r="G253" s="634">
        <v>3.15</v>
      </c>
      <c r="H253" s="634">
        <v>0</v>
      </c>
      <c r="I253" s="633">
        <v>18.149999999999999</v>
      </c>
    </row>
    <row r="254" spans="1:9" ht="15" customHeight="1" x14ac:dyDescent="0.25">
      <c r="A254" t="s">
        <v>854</v>
      </c>
      <c r="B254" t="s">
        <v>426</v>
      </c>
      <c r="C254" t="s">
        <v>916</v>
      </c>
      <c r="D254" t="s">
        <v>917</v>
      </c>
      <c r="E254" t="s">
        <v>916</v>
      </c>
      <c r="F254" s="633">
        <v>1.1000000000000001</v>
      </c>
      <c r="G254" s="634">
        <v>0.11550000000000001</v>
      </c>
      <c r="H254" s="634">
        <v>0</v>
      </c>
      <c r="I254" s="633">
        <v>1.2155</v>
      </c>
    </row>
    <row r="255" spans="1:9" ht="15" customHeight="1" x14ac:dyDescent="0.25">
      <c r="A255" t="s">
        <v>854</v>
      </c>
      <c r="B255" t="s">
        <v>426</v>
      </c>
      <c r="C255" t="s">
        <v>918</v>
      </c>
      <c r="D255" t="s">
        <v>919</v>
      </c>
      <c r="E255" t="s">
        <v>918</v>
      </c>
      <c r="F255" s="633">
        <v>31.25</v>
      </c>
      <c r="G255" s="634">
        <v>6.5625</v>
      </c>
      <c r="H255" s="634">
        <v>0</v>
      </c>
      <c r="I255" s="633">
        <v>37.8125</v>
      </c>
    </row>
    <row r="256" spans="1:9" ht="15" customHeight="1" x14ac:dyDescent="0.25">
      <c r="A256" t="s">
        <v>854</v>
      </c>
      <c r="B256" t="s">
        <v>426</v>
      </c>
      <c r="C256" t="s">
        <v>920</v>
      </c>
      <c r="D256" t="s">
        <v>921</v>
      </c>
      <c r="E256" t="s">
        <v>920</v>
      </c>
      <c r="F256" s="633">
        <v>1.1499999999999999</v>
      </c>
      <c r="G256" s="634">
        <v>0.12075</v>
      </c>
      <c r="H256" s="634">
        <v>0</v>
      </c>
      <c r="I256" s="633">
        <v>1.27075</v>
      </c>
    </row>
    <row r="257" spans="1:9" ht="15" customHeight="1" x14ac:dyDescent="0.25">
      <c r="A257" t="s">
        <v>854</v>
      </c>
      <c r="B257" t="s">
        <v>426</v>
      </c>
      <c r="C257" t="s">
        <v>922</v>
      </c>
      <c r="D257" t="s">
        <v>923</v>
      </c>
      <c r="E257" t="s">
        <v>922</v>
      </c>
      <c r="F257" s="633">
        <v>1.44</v>
      </c>
      <c r="G257" s="634">
        <v>0.3024</v>
      </c>
      <c r="H257" s="634">
        <v>0</v>
      </c>
      <c r="I257" s="633">
        <v>1.7423999999999999</v>
      </c>
    </row>
    <row r="258" spans="1:9" ht="15" customHeight="1" x14ac:dyDescent="0.25">
      <c r="A258" t="s">
        <v>924</v>
      </c>
      <c r="B258" t="s">
        <v>426</v>
      </c>
      <c r="C258" t="s">
        <v>31</v>
      </c>
      <c r="D258" t="s">
        <v>925</v>
      </c>
      <c r="E258" t="s">
        <v>31</v>
      </c>
      <c r="F258" s="633">
        <v>300</v>
      </c>
      <c r="G258" s="634">
        <v>31.5</v>
      </c>
      <c r="H258" s="634">
        <v>0</v>
      </c>
      <c r="I258" s="633">
        <v>331.5</v>
      </c>
    </row>
    <row r="259" spans="1:9" ht="15" customHeight="1" x14ac:dyDescent="0.25">
      <c r="A259" t="s">
        <v>924</v>
      </c>
      <c r="B259" t="s">
        <v>426</v>
      </c>
      <c r="C259" t="s">
        <v>926</v>
      </c>
      <c r="D259" t="s">
        <v>927</v>
      </c>
      <c r="E259" t="s">
        <v>926</v>
      </c>
      <c r="F259" s="633">
        <v>380</v>
      </c>
      <c r="G259" s="634">
        <v>39.9</v>
      </c>
      <c r="H259" s="634">
        <v>0</v>
      </c>
      <c r="I259" s="633">
        <v>419.9</v>
      </c>
    </row>
    <row r="260" spans="1:9" ht="15" customHeight="1" x14ac:dyDescent="0.25">
      <c r="A260" t="s">
        <v>924</v>
      </c>
      <c r="B260" t="s">
        <v>426</v>
      </c>
      <c r="C260" t="s">
        <v>928</v>
      </c>
      <c r="D260" t="s">
        <v>929</v>
      </c>
      <c r="E260" t="s">
        <v>928</v>
      </c>
      <c r="F260" s="633">
        <v>575</v>
      </c>
      <c r="G260" s="634">
        <v>60.375</v>
      </c>
      <c r="H260" s="634">
        <v>0</v>
      </c>
      <c r="I260" s="633">
        <v>635.375</v>
      </c>
    </row>
    <row r="261" spans="1:9" ht="15" customHeight="1" x14ac:dyDescent="0.25">
      <c r="A261" t="s">
        <v>924</v>
      </c>
      <c r="B261" t="s">
        <v>426</v>
      </c>
      <c r="C261" t="s">
        <v>930</v>
      </c>
      <c r="D261" t="s">
        <v>931</v>
      </c>
      <c r="E261" t="s">
        <v>930</v>
      </c>
      <c r="F261" s="633">
        <v>310</v>
      </c>
      <c r="G261" s="634">
        <v>32.549999999999997</v>
      </c>
      <c r="H261" s="634">
        <v>0</v>
      </c>
      <c r="I261" s="633">
        <v>342.55</v>
      </c>
    </row>
    <row r="262" spans="1:9" ht="15" customHeight="1" x14ac:dyDescent="0.25">
      <c r="A262" t="s">
        <v>924</v>
      </c>
      <c r="B262" t="s">
        <v>426</v>
      </c>
      <c r="C262" t="s">
        <v>932</v>
      </c>
      <c r="D262" t="s">
        <v>933</v>
      </c>
      <c r="E262" t="s">
        <v>932</v>
      </c>
      <c r="F262" s="633">
        <v>508.2</v>
      </c>
      <c r="G262" s="634">
        <v>53.360999999999997</v>
      </c>
      <c r="H262" s="634">
        <v>0</v>
      </c>
      <c r="I262" s="633">
        <v>561.56100000000004</v>
      </c>
    </row>
    <row r="263" spans="1:9" ht="15" customHeight="1" x14ac:dyDescent="0.25">
      <c r="A263" t="s">
        <v>924</v>
      </c>
      <c r="B263" t="s">
        <v>426</v>
      </c>
      <c r="C263" t="s">
        <v>11</v>
      </c>
      <c r="D263" t="s">
        <v>934</v>
      </c>
      <c r="E263" t="s">
        <v>11</v>
      </c>
      <c r="F263" s="633">
        <v>498</v>
      </c>
      <c r="G263" s="634">
        <v>52.29</v>
      </c>
      <c r="H263" s="634">
        <v>0</v>
      </c>
      <c r="I263" s="633">
        <v>550.29</v>
      </c>
    </row>
    <row r="264" spans="1:9" ht="15" customHeight="1" x14ac:dyDescent="0.25">
      <c r="A264" t="s">
        <v>924</v>
      </c>
      <c r="B264" t="s">
        <v>426</v>
      </c>
      <c r="C264" t="s">
        <v>935</v>
      </c>
      <c r="D264" t="s">
        <v>936</v>
      </c>
      <c r="E264" t="s">
        <v>935</v>
      </c>
      <c r="F264" s="633">
        <v>49.5</v>
      </c>
      <c r="G264" s="634">
        <v>5.1974999999999998</v>
      </c>
      <c r="H264" s="634">
        <v>0</v>
      </c>
      <c r="I264" s="633">
        <v>54.697499999999998</v>
      </c>
    </row>
    <row r="265" spans="1:9" ht="15" customHeight="1" x14ac:dyDescent="0.25">
      <c r="A265" t="s">
        <v>924</v>
      </c>
      <c r="B265" t="s">
        <v>426</v>
      </c>
      <c r="C265" t="s">
        <v>937</v>
      </c>
      <c r="D265" t="s">
        <v>938</v>
      </c>
      <c r="E265" t="s">
        <v>937</v>
      </c>
      <c r="F265" s="633">
        <v>600</v>
      </c>
      <c r="G265" s="634">
        <v>63</v>
      </c>
      <c r="H265" s="634">
        <v>0</v>
      </c>
      <c r="I265" s="633">
        <v>663</v>
      </c>
    </row>
    <row r="266" spans="1:9" ht="15" customHeight="1" x14ac:dyDescent="0.25">
      <c r="A266" t="s">
        <v>924</v>
      </c>
      <c r="B266" t="s">
        <v>426</v>
      </c>
      <c r="C266" t="s">
        <v>939</v>
      </c>
      <c r="D266" t="s">
        <v>940</v>
      </c>
      <c r="E266" t="s">
        <v>939</v>
      </c>
      <c r="F266" s="633">
        <v>560</v>
      </c>
      <c r="G266" s="634">
        <v>58.8</v>
      </c>
      <c r="H266" s="634">
        <v>0</v>
      </c>
      <c r="I266" s="633">
        <v>618.79999999999995</v>
      </c>
    </row>
    <row r="267" spans="1:9" ht="15" customHeight="1" x14ac:dyDescent="0.25">
      <c r="A267" t="s">
        <v>924</v>
      </c>
      <c r="B267" t="s">
        <v>426</v>
      </c>
      <c r="C267" t="s">
        <v>941</v>
      </c>
      <c r="D267" t="s">
        <v>942</v>
      </c>
      <c r="E267" t="s">
        <v>941</v>
      </c>
      <c r="F267" s="633">
        <v>215</v>
      </c>
      <c r="G267" s="634">
        <v>22.574999999999999</v>
      </c>
      <c r="H267" s="634">
        <v>0</v>
      </c>
      <c r="I267" s="633">
        <v>237.57499999999999</v>
      </c>
    </row>
    <row r="268" spans="1:9" ht="15" customHeight="1" x14ac:dyDescent="0.25">
      <c r="A268" t="s">
        <v>924</v>
      </c>
      <c r="B268" t="s">
        <v>426</v>
      </c>
      <c r="C268" t="s">
        <v>943</v>
      </c>
      <c r="D268" t="s">
        <v>944</v>
      </c>
      <c r="E268" t="s">
        <v>943</v>
      </c>
      <c r="F268" s="633">
        <v>505</v>
      </c>
      <c r="G268" s="634">
        <v>53.024999999999999</v>
      </c>
      <c r="H268" s="634">
        <v>0</v>
      </c>
      <c r="I268" s="633">
        <v>558.02499999999998</v>
      </c>
    </row>
    <row r="269" spans="1:9" ht="15" customHeight="1" x14ac:dyDescent="0.25">
      <c r="A269" t="s">
        <v>924</v>
      </c>
      <c r="B269" t="s">
        <v>426</v>
      </c>
      <c r="C269" t="s">
        <v>945</v>
      </c>
      <c r="D269" t="s">
        <v>946</v>
      </c>
      <c r="E269" t="s">
        <v>945</v>
      </c>
      <c r="F269" s="633">
        <v>18.75</v>
      </c>
      <c r="G269" s="634">
        <v>1.96875</v>
      </c>
      <c r="H269" s="634">
        <v>0</v>
      </c>
      <c r="I269" s="633">
        <v>20.71875</v>
      </c>
    </row>
    <row r="270" spans="1:9" ht="15" customHeight="1" x14ac:dyDescent="0.25">
      <c r="A270" t="s">
        <v>924</v>
      </c>
      <c r="B270" t="s">
        <v>426</v>
      </c>
      <c r="C270" t="s">
        <v>6</v>
      </c>
      <c r="D270" t="s">
        <v>947</v>
      </c>
      <c r="E270" t="s">
        <v>6</v>
      </c>
      <c r="F270" s="633">
        <v>285</v>
      </c>
      <c r="G270" s="634">
        <v>29.925000000000001</v>
      </c>
      <c r="H270" s="634">
        <v>0</v>
      </c>
      <c r="I270" s="633">
        <v>314.92500000000001</v>
      </c>
    </row>
    <row r="271" spans="1:9" ht="15" customHeight="1" x14ac:dyDescent="0.25">
      <c r="A271" t="s">
        <v>924</v>
      </c>
      <c r="B271" t="s">
        <v>426</v>
      </c>
      <c r="C271" t="s">
        <v>948</v>
      </c>
      <c r="D271" t="s">
        <v>949</v>
      </c>
      <c r="E271" t="s">
        <v>948</v>
      </c>
      <c r="F271" s="633">
        <v>500</v>
      </c>
      <c r="G271" s="634">
        <v>52.5</v>
      </c>
      <c r="H271" s="634">
        <v>0</v>
      </c>
      <c r="I271" s="633">
        <v>552.5</v>
      </c>
    </row>
    <row r="272" spans="1:9" ht="15" customHeight="1" x14ac:dyDescent="0.25">
      <c r="A272" t="s">
        <v>924</v>
      </c>
      <c r="B272" t="s">
        <v>426</v>
      </c>
      <c r="C272" t="s">
        <v>9</v>
      </c>
      <c r="D272" t="s">
        <v>950</v>
      </c>
      <c r="E272" t="s">
        <v>9</v>
      </c>
      <c r="F272" s="633">
        <v>383</v>
      </c>
      <c r="G272" s="634">
        <v>40.215000000000003</v>
      </c>
      <c r="H272" s="634">
        <v>0</v>
      </c>
      <c r="I272" s="633">
        <v>423.21499999999997</v>
      </c>
    </row>
    <row r="273" spans="1:9" ht="15" customHeight="1" x14ac:dyDescent="0.25">
      <c r="A273" t="s">
        <v>924</v>
      </c>
      <c r="B273" t="s">
        <v>426</v>
      </c>
      <c r="C273" t="s">
        <v>951</v>
      </c>
      <c r="D273" t="s">
        <v>952</v>
      </c>
      <c r="E273" t="s">
        <v>951</v>
      </c>
      <c r="F273" s="633">
        <v>525</v>
      </c>
      <c r="G273" s="634">
        <v>55.125</v>
      </c>
      <c r="H273" s="634">
        <v>0</v>
      </c>
      <c r="I273" s="633">
        <v>580.125</v>
      </c>
    </row>
    <row r="274" spans="1:9" ht="15" customHeight="1" x14ac:dyDescent="0.25">
      <c r="A274" t="s">
        <v>924</v>
      </c>
      <c r="B274" t="s">
        <v>426</v>
      </c>
      <c r="C274" t="s">
        <v>953</v>
      </c>
      <c r="D274" t="s">
        <v>954</v>
      </c>
      <c r="E274" t="s">
        <v>953</v>
      </c>
      <c r="F274" s="633">
        <v>640</v>
      </c>
      <c r="G274" s="634">
        <v>134.4</v>
      </c>
      <c r="H274" s="634">
        <v>0</v>
      </c>
      <c r="I274" s="633">
        <v>774.4</v>
      </c>
    </row>
    <row r="275" spans="1:9" ht="15" customHeight="1" x14ac:dyDescent="0.25">
      <c r="A275" t="s">
        <v>924</v>
      </c>
      <c r="B275" t="s">
        <v>426</v>
      </c>
      <c r="C275" t="s">
        <v>955</v>
      </c>
      <c r="D275" t="s">
        <v>956</v>
      </c>
      <c r="E275" t="s">
        <v>955</v>
      </c>
      <c r="F275" s="633">
        <v>355</v>
      </c>
      <c r="G275" s="634">
        <v>37.274999999999999</v>
      </c>
      <c r="H275" s="634">
        <v>0</v>
      </c>
      <c r="I275" s="633">
        <v>392.27499999999998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26</vt:i4>
      </vt:variant>
      <vt:variant>
        <vt:lpstr>Rangos con nombre</vt:lpstr>
      </vt:variant>
      <vt:variant>
        <vt:i4>16</vt:i4>
      </vt:variant>
    </vt:vector>
  </HeadingPairs>
  <TitlesOfParts>
    <vt:vector size="42" baseType="lpstr">
      <vt:lpstr>Valores</vt:lpstr>
      <vt:lpstr>Tr</vt:lpstr>
      <vt:lpstr>Sj2º</vt:lpstr>
      <vt:lpstr>Mz</vt:lpstr>
      <vt:lpstr>Sj1º</vt:lpstr>
      <vt:lpstr>RESUMEN</vt:lpstr>
      <vt:lpstr>Compra Productor</vt:lpstr>
      <vt:lpstr>MAIZ 1º</vt:lpstr>
      <vt:lpstr>SOJA 1º</vt:lpstr>
      <vt:lpstr>TRIGO</vt:lpstr>
      <vt:lpstr>Soja2º</vt:lpstr>
      <vt:lpstr>Maíz 2º</vt:lpstr>
      <vt:lpstr>Maíz2º</vt:lpstr>
      <vt:lpstr>Alquiler fciado</vt:lpstr>
      <vt:lpstr>Alq.</vt:lpstr>
      <vt:lpstr>INFO ANALISIS</vt:lpstr>
      <vt:lpstr>Imprime Formulario</vt:lpstr>
      <vt:lpstr>SORGO</vt:lpstr>
      <vt:lpstr>GIRASOL</vt:lpstr>
      <vt:lpstr>Camelina</vt:lpstr>
      <vt:lpstr>SOJAsobreCS</vt:lpstr>
      <vt:lpstr>MAIZsobreCS</vt:lpstr>
      <vt:lpstr>MANI</vt:lpstr>
      <vt:lpstr>RENTAB=ROTAC</vt:lpstr>
      <vt:lpstr>Hoja1</vt:lpstr>
      <vt:lpstr>Hoja2</vt:lpstr>
      <vt:lpstr>'Alquiler fciado'!Área_de_impresión</vt:lpstr>
      <vt:lpstr>'Compra Productor'!Área_de_impresión</vt:lpstr>
      <vt:lpstr>'Imprime Formulario'!Área_de_impresión</vt:lpstr>
      <vt:lpstr>'MAIZ 1º'!Área_de_impresión</vt:lpstr>
      <vt:lpstr>'Maíz 2º'!Área_de_impresión</vt:lpstr>
      <vt:lpstr>Mz!Área_de_impresión</vt:lpstr>
      <vt:lpstr>'RENTAB=ROTAC'!Área_de_impresión</vt:lpstr>
      <vt:lpstr>RESUMEN!Área_de_impresión</vt:lpstr>
      <vt:lpstr>Sj1º!Área_de_impresión</vt:lpstr>
      <vt:lpstr>Sj2º!Área_de_impresión</vt:lpstr>
      <vt:lpstr>'SOJA 1º'!Área_de_impresión</vt:lpstr>
      <vt:lpstr>Soja2º!Área_de_impresión</vt:lpstr>
      <vt:lpstr>SORGO!Área_de_impresión</vt:lpstr>
      <vt:lpstr>Tr!Área_de_impresión</vt:lpstr>
      <vt:lpstr>TRIGO!Área_de_impresión</vt:lpstr>
      <vt:lpstr>Valores!Área_de_impresión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Agr. Mauricio Albera</dc:creator>
  <cp:lastModifiedBy>Roque Gonzalez</cp:lastModifiedBy>
  <cp:lastPrinted>2021-01-12T19:57:38Z</cp:lastPrinted>
  <dcterms:created xsi:type="dcterms:W3CDTF">2004-03-30T01:14:10Z</dcterms:created>
  <dcterms:modified xsi:type="dcterms:W3CDTF">2026-04-22T13:12:33Z</dcterms:modified>
</cp:coreProperties>
</file>